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95" windowWidth="15360" windowHeight="8220" activeTab="2"/>
  </bookViews>
  <sheets>
    <sheet name="Gerente" sheetId="1" r:id="rId1"/>
    <sheet name="Oficial 1ª Advo." sheetId="2" r:id="rId2"/>
    <sheet name="Encargada producción" sheetId="3" r:id="rId3"/>
    <sheet name="Oficial 1ª producción" sheetId="4" r:id="rId4"/>
    <sheet name="Peón" sheetId="5" r:id="rId5"/>
    <sheet name="Hoja1" sheetId="6" r:id="rId6"/>
  </sheets>
  <definedNames/>
  <calcPr fullCalcOnLoad="1"/>
</workbook>
</file>

<file path=xl/sharedStrings.xml><?xml version="1.0" encoding="utf-8"?>
<sst xmlns="http://schemas.openxmlformats.org/spreadsheetml/2006/main" count="322" uniqueCount="95">
  <si>
    <t>EMPRESA</t>
  </si>
  <si>
    <t>DOMICILIO</t>
  </si>
  <si>
    <t>CIF</t>
  </si>
  <si>
    <t>CCC</t>
  </si>
  <si>
    <t>TRABAJADOR</t>
  </si>
  <si>
    <t>NIF</t>
  </si>
  <si>
    <t>Nº S.S</t>
  </si>
  <si>
    <t>CATEGORIA</t>
  </si>
  <si>
    <t>GRUPO COTIZACION</t>
  </si>
  <si>
    <t>Periodo liquidación</t>
  </si>
  <si>
    <t>Nº días</t>
  </si>
  <si>
    <t>I. DEVENGOS</t>
  </si>
  <si>
    <t>1. Percepciones salariales</t>
  </si>
  <si>
    <t>Salario base</t>
  </si>
  <si>
    <t>Complementos salariales</t>
  </si>
  <si>
    <t>Horas extraordinarias</t>
  </si>
  <si>
    <t>Gratificaciones extraordinarias</t>
  </si>
  <si>
    <t>Salario en especie</t>
  </si>
  <si>
    <t>2. Percepciones no salariales</t>
  </si>
  <si>
    <t>Indemnizaciones o Suplidos</t>
  </si>
  <si>
    <t>Prestaciones e indemnizaciones de la Seguridad Social</t>
  </si>
  <si>
    <t>Otras percepciones no salariales</t>
  </si>
  <si>
    <t>A. TOTAL DEVENGADO</t>
  </si>
  <si>
    <t>II. DEDUCCIONES</t>
  </si>
  <si>
    <t>Contingencias comunes</t>
  </si>
  <si>
    <t>1. Aportaciones del trabajador a las cotizacones a la S.S y recaudación conjunta</t>
  </si>
  <si>
    <t>Porcentaje</t>
  </si>
  <si>
    <t>Desempleo</t>
  </si>
  <si>
    <t>Formación Profesional</t>
  </si>
  <si>
    <t>Horas extraordinarias Normales</t>
  </si>
  <si>
    <t>Horas extraordinarias de Fuerza Mayor</t>
  </si>
  <si>
    <t>TOTAL APORTACIONES</t>
  </si>
  <si>
    <t>2. Irpf</t>
  </si>
  <si>
    <t>3. Anticipos</t>
  </si>
  <si>
    <t>4. Valor de los productos recibidos en especie</t>
  </si>
  <si>
    <t>5. Otras deducciones</t>
  </si>
  <si>
    <t>B. TOTAL A DEDUCIR</t>
  </si>
  <si>
    <t>LIQUIDO TOTAL A PERCIBIR (A-B)</t>
  </si>
  <si>
    <t>Firma y sello de la empresa</t>
  </si>
  <si>
    <t>Fecha</t>
  </si>
  <si>
    <t>Recibi</t>
  </si>
  <si>
    <t>DETERMINACION DE LAS BASES DE COTIZACION A LA SEGURIDAD SOCIAL E IRPF</t>
  </si>
  <si>
    <t>1. Base de cotización por contingencias comunes</t>
  </si>
  <si>
    <t>Remuneración mensual</t>
  </si>
  <si>
    <t>Prorrata pagas extras</t>
  </si>
  <si>
    <t>TOTAL</t>
  </si>
  <si>
    <t>2. Base de cotización por contingencias profesionales y recaudación conjunta</t>
  </si>
  <si>
    <t>3. Base de cotización por horas extras normales</t>
  </si>
  <si>
    <t>4. Base de cotización por horas extras fuerza mayor</t>
  </si>
  <si>
    <t>5. Base sujeta a retención del Irpf</t>
  </si>
  <si>
    <t>TOTALES</t>
  </si>
  <si>
    <t>Cárnicas Floristán</t>
  </si>
  <si>
    <t>Carlos Arias, 41</t>
  </si>
  <si>
    <t>A31987666</t>
  </si>
  <si>
    <t>Gerardo López Manterola</t>
  </si>
  <si>
    <t>82725612X</t>
  </si>
  <si>
    <t>Gerente</t>
  </si>
  <si>
    <t>Antigüedad</t>
  </si>
  <si>
    <t>Premio asistencia</t>
  </si>
  <si>
    <t>Mª Carmen Samanes Arroyo</t>
  </si>
  <si>
    <t>36720872L</t>
  </si>
  <si>
    <t>Oficial 1ª Administraqtivo</t>
  </si>
  <si>
    <t>Plus Convenio</t>
  </si>
  <si>
    <t>Paula Ansorena Burgui</t>
  </si>
  <si>
    <t>15987682R</t>
  </si>
  <si>
    <t>Encargada producción</t>
  </si>
  <si>
    <t>Ricardo Gómez Antón</t>
  </si>
  <si>
    <t>78786193B</t>
  </si>
  <si>
    <t>Oficial 1ª producción</t>
  </si>
  <si>
    <t>Plus convenio</t>
  </si>
  <si>
    <t>B.R.</t>
  </si>
  <si>
    <t>Del 1 al 30 de Abril de 2010</t>
  </si>
  <si>
    <t>1º-3º</t>
  </si>
  <si>
    <t>4º-15º</t>
  </si>
  <si>
    <t>Prestacion IT EC</t>
  </si>
  <si>
    <t>Comp.</t>
  </si>
  <si>
    <t>Trab</t>
  </si>
  <si>
    <t>IT</t>
  </si>
  <si>
    <t>SB</t>
  </si>
  <si>
    <t>Ant.</t>
  </si>
  <si>
    <t>Prest.</t>
  </si>
  <si>
    <t>Comp. Art. 27</t>
  </si>
  <si>
    <t>CC</t>
  </si>
  <si>
    <t>CP</t>
  </si>
  <si>
    <t>Manuel Expósito San Martín</t>
  </si>
  <si>
    <t>32718420P</t>
  </si>
  <si>
    <t>Peón de producción</t>
  </si>
  <si>
    <t>Del 1 al 31 de Mayo de 2010</t>
  </si>
  <si>
    <t>BR</t>
  </si>
  <si>
    <t>Art. 27</t>
  </si>
  <si>
    <t>Prest. IT Accidente</t>
  </si>
  <si>
    <t>Prest. IT Enf. Común</t>
  </si>
  <si>
    <t>16º-20ª</t>
  </si>
  <si>
    <t>21º-24º</t>
  </si>
  <si>
    <t>Nocturnidad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</si>
</sst>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%"/>
  </numFmts>
  <fonts count="42">
    <font>
      <sz val="10"/>
      <name val="Arial"/>
      <family val="0"/>
    </font>
    <font>
      <sz val="10"/>
      <name val="Bookman Old Style"/>
      <family val="1"/>
    </font>
    <font>
      <sz val="8"/>
      <name val="Bookman Old Style"/>
      <family val="1"/>
    </font>
    <font>
      <sz val="8"/>
      <name val="Arial"/>
      <family val="0"/>
    </font>
    <font>
      <b/>
      <sz val="10"/>
      <name val="Bookman Old Style"/>
      <family val="1"/>
    </font>
    <font>
      <b/>
      <sz val="8"/>
      <name val="Bookman Old Style"/>
      <family val="1"/>
    </font>
    <font>
      <b/>
      <u val="single"/>
      <sz val="10"/>
      <name val="Bookman Old Style"/>
      <family val="1"/>
    </font>
    <font>
      <b/>
      <u val="single"/>
      <sz val="8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5" fillId="0" borderId="13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5" fillId="0" borderId="14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6" fillId="0" borderId="0" xfId="0" applyFont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0" xfId="0" applyFont="1" applyAlignment="1">
      <alignment/>
    </xf>
    <xf numFmtId="0" fontId="2" fillId="33" borderId="15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1" fontId="2" fillId="33" borderId="15" xfId="0" applyNumberFormat="1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4" fillId="0" borderId="21" xfId="0" applyFont="1" applyBorder="1" applyAlignment="1">
      <alignment/>
    </xf>
    <xf numFmtId="0" fontId="1" fillId="33" borderId="23" xfId="0" applyFont="1" applyFill="1" applyBorder="1" applyAlignment="1">
      <alignment/>
    </xf>
    <xf numFmtId="0" fontId="1" fillId="33" borderId="24" xfId="0" applyFont="1" applyFill="1" applyBorder="1" applyAlignment="1">
      <alignment/>
    </xf>
    <xf numFmtId="0" fontId="6" fillId="0" borderId="20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0" xfId="0" applyFont="1" applyAlignment="1">
      <alignment/>
    </xf>
    <xf numFmtId="0" fontId="1" fillId="0" borderId="16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8" xfId="0" applyFont="1" applyBorder="1" applyAlignment="1">
      <alignment/>
    </xf>
    <xf numFmtId="0" fontId="1" fillId="33" borderId="16" xfId="0" applyFont="1" applyFill="1" applyBorder="1" applyAlignment="1">
      <alignment/>
    </xf>
    <xf numFmtId="0" fontId="4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4" fillId="0" borderId="13" xfId="0" applyFont="1" applyBorder="1" applyAlignment="1">
      <alignment/>
    </xf>
    <xf numFmtId="0" fontId="1" fillId="0" borderId="0" xfId="0" applyFont="1" applyBorder="1" applyAlignment="1">
      <alignment horizontal="center"/>
    </xf>
    <xf numFmtId="10" fontId="1" fillId="33" borderId="0" xfId="0" applyNumberFormat="1" applyFont="1" applyFill="1" applyBorder="1" applyAlignment="1">
      <alignment/>
    </xf>
    <xf numFmtId="0" fontId="6" fillId="0" borderId="16" xfId="0" applyFont="1" applyBorder="1" applyAlignment="1">
      <alignment/>
    </xf>
    <xf numFmtId="0" fontId="0" fillId="0" borderId="18" xfId="0" applyFont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/>
    </xf>
    <xf numFmtId="4" fontId="1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10" fontId="1" fillId="33" borderId="0" xfId="0" applyNumberFormat="1" applyFont="1" applyFill="1" applyBorder="1" applyAlignment="1">
      <alignment horizontal="center"/>
    </xf>
    <xf numFmtId="4" fontId="1" fillId="33" borderId="10" xfId="0" applyNumberFormat="1" applyFont="1" applyFill="1" applyBorder="1" applyAlignment="1">
      <alignment/>
    </xf>
    <xf numFmtId="4" fontId="1" fillId="33" borderId="11" xfId="0" applyNumberFormat="1" applyFont="1" applyFill="1" applyBorder="1" applyAlignment="1">
      <alignment/>
    </xf>
    <xf numFmtId="4" fontId="2" fillId="0" borderId="15" xfId="0" applyNumberFormat="1" applyFont="1" applyBorder="1" applyAlignment="1">
      <alignment/>
    </xf>
    <xf numFmtId="4" fontId="5" fillId="33" borderId="25" xfId="0" applyNumberFormat="1" applyFont="1" applyFill="1" applyBorder="1" applyAlignment="1">
      <alignment/>
    </xf>
    <xf numFmtId="4" fontId="5" fillId="0" borderId="15" xfId="0" applyNumberFormat="1" applyFont="1" applyBorder="1" applyAlignment="1">
      <alignment/>
    </xf>
    <xf numFmtId="4" fontId="4" fillId="33" borderId="11" xfId="0" applyNumberFormat="1" applyFont="1" applyFill="1" applyBorder="1" applyAlignment="1">
      <alignment/>
    </xf>
    <xf numFmtId="4" fontId="4" fillId="33" borderId="26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4" fontId="2" fillId="33" borderId="11" xfId="0" applyNumberFormat="1" applyFont="1" applyFill="1" applyBorder="1" applyAlignment="1">
      <alignment/>
    </xf>
    <xf numFmtId="4" fontId="2" fillId="33" borderId="27" xfId="0" applyNumberFormat="1" applyFont="1" applyFill="1" applyBorder="1" applyAlignment="1">
      <alignment/>
    </xf>
    <xf numFmtId="4" fontId="2" fillId="33" borderId="28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/>
    </xf>
    <xf numFmtId="4" fontId="2" fillId="0" borderId="0" xfId="0" applyNumberFormat="1" applyFont="1" applyFill="1" applyBorder="1" applyAlignment="1">
      <alignment/>
    </xf>
    <xf numFmtId="4" fontId="1" fillId="0" borderId="0" xfId="0" applyNumberFormat="1" applyFont="1" applyAlignment="1">
      <alignment/>
    </xf>
    <xf numFmtId="16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5" fillId="0" borderId="0" xfId="0" applyNumberFormat="1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1"/>
  <sheetViews>
    <sheetView zoomScalePageLayoutView="0" workbookViewId="0" topLeftCell="C35">
      <selection activeCell="I57" sqref="I57"/>
    </sheetView>
  </sheetViews>
  <sheetFormatPr defaultColWidth="11.421875" defaultRowHeight="12.75"/>
  <cols>
    <col min="1" max="1" width="6.7109375" style="0" customWidth="1"/>
    <col min="2" max="2" width="11.421875" style="41" customWidth="1"/>
    <col min="3" max="3" width="12.00390625" style="3" bestFit="1" customWidth="1"/>
    <col min="4" max="4" width="11.421875" style="41" customWidth="1"/>
    <col min="5" max="5" width="11.421875" style="3" customWidth="1"/>
    <col min="6" max="6" width="13.7109375" style="41" customWidth="1"/>
    <col min="7" max="7" width="11.421875" style="3" customWidth="1"/>
    <col min="8" max="8" width="11.421875" style="41" customWidth="1"/>
    <col min="9" max="9" width="12.8515625" style="3" customWidth="1"/>
    <col min="10" max="10" width="11.421875" style="3" customWidth="1"/>
  </cols>
  <sheetData>
    <row r="1" spans="2:10" s="1" customFormat="1" ht="15.75" thickTop="1">
      <c r="B1" s="33" t="s">
        <v>0</v>
      </c>
      <c r="C1" s="17" t="s">
        <v>51</v>
      </c>
      <c r="D1" s="45"/>
      <c r="E1" s="17"/>
      <c r="F1" s="42" t="s">
        <v>4</v>
      </c>
      <c r="G1" s="17" t="s">
        <v>54</v>
      </c>
      <c r="H1" s="45"/>
      <c r="I1" s="18"/>
      <c r="J1" s="2"/>
    </row>
    <row r="2" spans="2:10" s="1" customFormat="1" ht="15">
      <c r="B2" s="34" t="s">
        <v>1</v>
      </c>
      <c r="C2" s="5" t="s">
        <v>52</v>
      </c>
      <c r="D2" s="55"/>
      <c r="E2" s="5"/>
      <c r="F2" s="43" t="s">
        <v>5</v>
      </c>
      <c r="G2" s="5" t="s">
        <v>55</v>
      </c>
      <c r="H2" s="51" t="s">
        <v>6</v>
      </c>
      <c r="I2" s="30">
        <v>314367890251</v>
      </c>
      <c r="J2" s="2"/>
    </row>
    <row r="3" spans="2:10" s="1" customFormat="1" ht="15">
      <c r="B3" s="34" t="s">
        <v>2</v>
      </c>
      <c r="C3" s="5" t="s">
        <v>53</v>
      </c>
      <c r="D3" s="43"/>
      <c r="E3" s="4"/>
      <c r="F3" s="43" t="s">
        <v>7</v>
      </c>
      <c r="G3" s="5" t="s">
        <v>56</v>
      </c>
      <c r="H3" s="55"/>
      <c r="I3" s="28"/>
      <c r="J3" s="2"/>
    </row>
    <row r="4" spans="2:10" s="1" customFormat="1" ht="15.75" thickBot="1">
      <c r="B4" s="35" t="s">
        <v>3</v>
      </c>
      <c r="C4" s="29">
        <v>31299472578</v>
      </c>
      <c r="D4" s="44"/>
      <c r="E4" s="19"/>
      <c r="F4" s="44" t="s">
        <v>8</v>
      </c>
      <c r="G4" s="19"/>
      <c r="H4" s="58">
        <v>1</v>
      </c>
      <c r="I4" s="20"/>
      <c r="J4" s="2"/>
    </row>
    <row r="5" spans="3:10" s="1" customFormat="1" ht="16.5" thickBot="1" thickTop="1">
      <c r="C5" s="2"/>
      <c r="E5" s="2"/>
      <c r="G5" s="2"/>
      <c r="I5" s="2"/>
      <c r="J5" s="2"/>
    </row>
    <row r="6" spans="2:10" s="1" customFormat="1" ht="15.75" thickTop="1">
      <c r="B6" s="33" t="s">
        <v>9</v>
      </c>
      <c r="C6" s="16"/>
      <c r="D6" s="45" t="s">
        <v>87</v>
      </c>
      <c r="E6" s="17"/>
      <c r="F6" s="45"/>
      <c r="G6" s="17"/>
      <c r="H6" s="59" t="s">
        <v>10</v>
      </c>
      <c r="I6" s="31">
        <v>30</v>
      </c>
      <c r="J6" s="2"/>
    </row>
    <row r="7" spans="2:10" s="7" customFormat="1" ht="12.75">
      <c r="B7" s="36" t="s">
        <v>11</v>
      </c>
      <c r="C7" s="8"/>
      <c r="D7" s="46"/>
      <c r="E7" s="8"/>
      <c r="F7" s="46"/>
      <c r="G7" s="8"/>
      <c r="H7" s="62"/>
      <c r="I7" s="32" t="s">
        <v>50</v>
      </c>
      <c r="J7" s="9"/>
    </row>
    <row r="8" spans="2:10" s="1" customFormat="1" ht="15">
      <c r="B8" s="34"/>
      <c r="C8" s="4"/>
      <c r="D8" s="43"/>
      <c r="E8" s="4"/>
      <c r="F8" s="43"/>
      <c r="G8" s="4"/>
      <c r="H8" s="61"/>
      <c r="I8" s="66"/>
      <c r="J8" s="2"/>
    </row>
    <row r="9" spans="2:10" s="1" customFormat="1" ht="15">
      <c r="B9" s="34" t="s">
        <v>12</v>
      </c>
      <c r="C9" s="4"/>
      <c r="D9" s="43"/>
      <c r="E9" s="4"/>
      <c r="F9" s="43"/>
      <c r="G9" s="4"/>
      <c r="H9" s="61"/>
      <c r="I9" s="66"/>
      <c r="J9" s="2"/>
    </row>
    <row r="10" spans="2:10" s="1" customFormat="1" ht="15">
      <c r="B10" s="34" t="s">
        <v>13</v>
      </c>
      <c r="C10" s="11"/>
      <c r="D10" s="47"/>
      <c r="E10" s="11"/>
      <c r="F10" s="47"/>
      <c r="G10" s="11"/>
      <c r="H10" s="64">
        <f>1346.5/30*10</f>
        <v>448.8333333333333</v>
      </c>
      <c r="I10" s="66"/>
      <c r="J10" s="2"/>
    </row>
    <row r="11" spans="2:10" s="1" customFormat="1" ht="15">
      <c r="B11" s="34" t="s">
        <v>14</v>
      </c>
      <c r="C11" s="4"/>
      <c r="D11" s="43"/>
      <c r="E11" s="4"/>
      <c r="F11" s="43"/>
      <c r="G11" s="4"/>
      <c r="H11" s="61"/>
      <c r="I11" s="66"/>
      <c r="J11" s="2"/>
    </row>
    <row r="12" spans="2:10" s="1" customFormat="1" ht="15">
      <c r="B12" s="37" t="s">
        <v>57</v>
      </c>
      <c r="C12" s="6"/>
      <c r="D12" s="56"/>
      <c r="E12" s="12"/>
      <c r="F12" s="48"/>
      <c r="G12" s="12"/>
      <c r="H12" s="64">
        <f>0.1*H10</f>
        <v>44.88333333333333</v>
      </c>
      <c r="I12" s="66"/>
      <c r="J12" s="2"/>
    </row>
    <row r="13" spans="2:10" s="1" customFormat="1" ht="15">
      <c r="B13" s="38" t="s">
        <v>58</v>
      </c>
      <c r="C13" s="10"/>
      <c r="D13" s="57"/>
      <c r="E13" s="13"/>
      <c r="F13" s="49"/>
      <c r="G13" s="13"/>
      <c r="H13" s="65"/>
      <c r="I13" s="66"/>
      <c r="J13" s="2"/>
    </row>
    <row r="14" spans="2:10" s="1" customFormat="1" ht="15">
      <c r="B14" s="37"/>
      <c r="C14" s="6"/>
      <c r="D14" s="56"/>
      <c r="E14" s="13"/>
      <c r="F14" s="49"/>
      <c r="G14" s="13"/>
      <c r="H14" s="65"/>
      <c r="I14" s="66"/>
      <c r="J14" s="2"/>
    </row>
    <row r="15" spans="2:10" s="1" customFormat="1" ht="15">
      <c r="B15" s="34" t="s">
        <v>15</v>
      </c>
      <c r="C15" s="4"/>
      <c r="D15" s="48"/>
      <c r="E15" s="12"/>
      <c r="F15" s="48"/>
      <c r="G15" s="12"/>
      <c r="H15" s="65"/>
      <c r="I15" s="66"/>
      <c r="J15" s="2"/>
    </row>
    <row r="16" spans="2:10" s="1" customFormat="1" ht="15">
      <c r="B16" s="34" t="s">
        <v>16</v>
      </c>
      <c r="C16" s="4"/>
      <c r="D16" s="43"/>
      <c r="E16" s="13"/>
      <c r="F16" s="49"/>
      <c r="G16" s="13"/>
      <c r="H16" s="65"/>
      <c r="I16" s="66"/>
      <c r="J16" s="2"/>
    </row>
    <row r="17" spans="2:10" s="1" customFormat="1" ht="15">
      <c r="B17" s="34" t="s">
        <v>17</v>
      </c>
      <c r="C17" s="4"/>
      <c r="D17" s="48"/>
      <c r="E17" s="12"/>
      <c r="F17" s="48"/>
      <c r="G17" s="12"/>
      <c r="H17" s="65"/>
      <c r="I17" s="66"/>
      <c r="J17" s="2"/>
    </row>
    <row r="18" spans="2:10" s="1" customFormat="1" ht="15">
      <c r="B18" s="34" t="s">
        <v>18</v>
      </c>
      <c r="C18" s="4"/>
      <c r="D18" s="43"/>
      <c r="E18" s="4"/>
      <c r="F18" s="43"/>
      <c r="G18" s="4"/>
      <c r="H18" s="61"/>
      <c r="I18" s="66"/>
      <c r="J18" s="2"/>
    </row>
    <row r="19" spans="2:10" s="1" customFormat="1" ht="15">
      <c r="B19" s="34" t="s">
        <v>19</v>
      </c>
      <c r="C19" s="4"/>
      <c r="D19" s="43"/>
      <c r="E19" s="4"/>
      <c r="F19" s="43"/>
      <c r="G19" s="4"/>
      <c r="H19" s="61"/>
      <c r="I19" s="66"/>
      <c r="J19" s="2"/>
    </row>
    <row r="20" spans="2:10" s="1" customFormat="1" ht="15">
      <c r="B20" s="37" t="s">
        <v>91</v>
      </c>
      <c r="C20" s="6"/>
      <c r="D20" s="56"/>
      <c r="E20" s="12"/>
      <c r="F20" s="48"/>
      <c r="G20" s="12"/>
      <c r="H20" s="64">
        <f>+M23</f>
        <v>450.4272</v>
      </c>
      <c r="I20" s="66"/>
      <c r="J20" s="2"/>
    </row>
    <row r="21" spans="2:10" s="1" customFormat="1" ht="15">
      <c r="B21" s="34" t="s">
        <v>20</v>
      </c>
      <c r="C21" s="4"/>
      <c r="D21" s="43"/>
      <c r="E21" s="4"/>
      <c r="F21" s="43"/>
      <c r="G21" s="4"/>
      <c r="H21" s="61"/>
      <c r="I21" s="66"/>
      <c r="J21" s="2"/>
    </row>
    <row r="22" spans="2:13" s="1" customFormat="1" ht="15">
      <c r="B22" s="37" t="s">
        <v>90</v>
      </c>
      <c r="C22" s="6"/>
      <c r="D22" s="56"/>
      <c r="E22" s="12"/>
      <c r="F22" s="48"/>
      <c r="G22" s="12"/>
      <c r="H22" s="64">
        <f>+K23</f>
        <v>286.50450000000006</v>
      </c>
      <c r="I22" s="66"/>
      <c r="J22" s="2" t="s">
        <v>88</v>
      </c>
      <c r="K22" s="1">
        <f>+((2191.78-315)/30)+(315+84)/360</f>
        <v>63.667666666666676</v>
      </c>
      <c r="M22" s="1">
        <f>1876.78/30</f>
        <v>62.559333333333335</v>
      </c>
    </row>
    <row r="23" spans="2:13" s="1" customFormat="1" ht="15">
      <c r="B23" s="34" t="s">
        <v>21</v>
      </c>
      <c r="C23" s="4"/>
      <c r="D23" s="43"/>
      <c r="E23" s="4"/>
      <c r="F23" s="43"/>
      <c r="G23" s="4"/>
      <c r="H23" s="61"/>
      <c r="I23" s="66"/>
      <c r="J23" s="2"/>
      <c r="K23" s="1">
        <f>6*0.75*K22</f>
        <v>286.50450000000006</v>
      </c>
      <c r="M23" s="1">
        <f>0.6*M22*12</f>
        <v>450.4272</v>
      </c>
    </row>
    <row r="24" spans="2:10" s="1" customFormat="1" ht="15">
      <c r="B24" s="37" t="s">
        <v>81</v>
      </c>
      <c r="C24" s="6"/>
      <c r="D24" s="56"/>
      <c r="E24" s="12"/>
      <c r="F24" s="48"/>
      <c r="G24" s="12"/>
      <c r="H24" s="64">
        <f>+M28</f>
        <v>250.50829999999996</v>
      </c>
      <c r="I24" s="66"/>
      <c r="J24" s="2"/>
    </row>
    <row r="25" spans="2:12" s="7" customFormat="1" ht="13.5" thickBot="1">
      <c r="B25" s="36"/>
      <c r="C25" s="8"/>
      <c r="D25" s="46" t="s">
        <v>22</v>
      </c>
      <c r="E25" s="8"/>
      <c r="F25" s="50"/>
      <c r="G25" s="14"/>
      <c r="H25" s="50"/>
      <c r="I25" s="67">
        <f>SUM(H10:H24)</f>
        <v>1481.1566666666668</v>
      </c>
      <c r="J25" s="9" t="s">
        <v>89</v>
      </c>
      <c r="K25" s="7">
        <v>1346.5</v>
      </c>
      <c r="L25" s="7">
        <v>448.83</v>
      </c>
    </row>
    <row r="26" spans="2:12" s="1" customFormat="1" ht="15">
      <c r="B26" s="34"/>
      <c r="C26" s="4"/>
      <c r="D26" s="43"/>
      <c r="E26" s="4"/>
      <c r="F26" s="43"/>
      <c r="G26" s="4"/>
      <c r="H26" s="43"/>
      <c r="I26" s="66"/>
      <c r="J26" s="2"/>
      <c r="K26" s="1">
        <v>134.65</v>
      </c>
      <c r="L26" s="1">
        <v>44.88</v>
      </c>
    </row>
    <row r="27" spans="2:12" s="7" customFormat="1" ht="12.75">
      <c r="B27" s="36" t="s">
        <v>23</v>
      </c>
      <c r="C27" s="8"/>
      <c r="D27" s="46"/>
      <c r="E27" s="8"/>
      <c r="F27" s="46"/>
      <c r="G27" s="8"/>
      <c r="H27" s="46"/>
      <c r="I27" s="68"/>
      <c r="J27" s="9"/>
      <c r="L27" s="7">
        <f>+K23+M23</f>
        <v>736.9317000000001</v>
      </c>
    </row>
    <row r="28" spans="2:13" s="7" customFormat="1" ht="12.75">
      <c r="B28" s="36" t="s">
        <v>25</v>
      </c>
      <c r="C28" s="8"/>
      <c r="D28" s="46"/>
      <c r="E28" s="8"/>
      <c r="F28" s="46"/>
      <c r="G28" s="8"/>
      <c r="H28" s="46"/>
      <c r="I28" s="68"/>
      <c r="J28" s="9"/>
      <c r="K28" s="7">
        <f>SUM(K25:K27)</f>
        <v>1481.15</v>
      </c>
      <c r="L28" s="7">
        <f>SUM(L25:L27)</f>
        <v>1230.6417000000001</v>
      </c>
      <c r="M28" s="7">
        <f>+K28-L28</f>
        <v>250.50829999999996</v>
      </c>
    </row>
    <row r="29" spans="2:10" s="1" customFormat="1" ht="15">
      <c r="B29" s="34"/>
      <c r="C29" s="4"/>
      <c r="D29" s="43"/>
      <c r="E29" s="4"/>
      <c r="F29" s="51" t="s">
        <v>26</v>
      </c>
      <c r="G29" s="4"/>
      <c r="H29" s="43"/>
      <c r="I29" s="66"/>
      <c r="J29" s="2"/>
    </row>
    <row r="30" spans="2:10" s="1" customFormat="1" ht="15">
      <c r="B30" s="34" t="s">
        <v>24</v>
      </c>
      <c r="C30" s="4"/>
      <c r="D30" s="48"/>
      <c r="E30" s="12"/>
      <c r="F30" s="63">
        <v>0.047</v>
      </c>
      <c r="G30" s="12"/>
      <c r="H30" s="64">
        <f>+I52*0.047</f>
        <v>88.81819255555556</v>
      </c>
      <c r="I30" s="66"/>
      <c r="J30" s="2"/>
    </row>
    <row r="31" spans="2:10" s="1" customFormat="1" ht="15">
      <c r="B31" s="34" t="s">
        <v>27</v>
      </c>
      <c r="C31" s="4"/>
      <c r="D31" s="49"/>
      <c r="E31" s="13"/>
      <c r="F31" s="63">
        <v>0.0155</v>
      </c>
      <c r="G31" s="13"/>
      <c r="H31" s="65">
        <f>+I53*0.0155</f>
        <v>29.39418966666667</v>
      </c>
      <c r="I31" s="66"/>
      <c r="J31" s="2"/>
    </row>
    <row r="32" spans="2:10" s="1" customFormat="1" ht="15">
      <c r="B32" s="34" t="s">
        <v>28</v>
      </c>
      <c r="C32" s="4"/>
      <c r="D32" s="49"/>
      <c r="E32" s="13"/>
      <c r="F32" s="63">
        <v>0.001</v>
      </c>
      <c r="G32" s="13"/>
      <c r="H32" s="65">
        <f>+I53*0.001</f>
        <v>1.8963993333333335</v>
      </c>
      <c r="I32" s="66"/>
      <c r="J32" s="2"/>
    </row>
    <row r="33" spans="2:10" s="1" customFormat="1" ht="15">
      <c r="B33" s="34" t="s">
        <v>29</v>
      </c>
      <c r="C33" s="4"/>
      <c r="D33" s="43"/>
      <c r="E33" s="13"/>
      <c r="F33" s="63">
        <v>0.047</v>
      </c>
      <c r="G33" s="13"/>
      <c r="H33" s="65">
        <f>+I54*0.047</f>
        <v>0</v>
      </c>
      <c r="I33" s="66"/>
      <c r="J33" s="2"/>
    </row>
    <row r="34" spans="2:10" s="1" customFormat="1" ht="15">
      <c r="B34" s="34" t="s">
        <v>30</v>
      </c>
      <c r="C34" s="4"/>
      <c r="D34" s="43"/>
      <c r="E34" s="13"/>
      <c r="F34" s="63">
        <v>0.02</v>
      </c>
      <c r="G34" s="13"/>
      <c r="H34" s="65">
        <f>+I55*0.02</f>
        <v>0</v>
      </c>
      <c r="I34" s="66"/>
      <c r="J34" s="2"/>
    </row>
    <row r="35" spans="2:10" s="7" customFormat="1" ht="12.75">
      <c r="B35" s="36" t="s">
        <v>31</v>
      </c>
      <c r="C35" s="8"/>
      <c r="D35" s="50"/>
      <c r="E35" s="14"/>
      <c r="F35" s="50"/>
      <c r="G35" s="14"/>
      <c r="H35" s="69">
        <f>SUM(H30:H34)</f>
        <v>120.10878155555557</v>
      </c>
      <c r="I35" s="68"/>
      <c r="J35" s="9"/>
    </row>
    <row r="36" spans="2:10" s="1" customFormat="1" ht="15">
      <c r="B36" s="34"/>
      <c r="C36" s="4"/>
      <c r="D36" s="43"/>
      <c r="E36" s="4"/>
      <c r="F36" s="43"/>
      <c r="G36" s="4"/>
      <c r="H36" s="61"/>
      <c r="I36" s="66"/>
      <c r="J36" s="2"/>
    </row>
    <row r="37" spans="2:10" s="1" customFormat="1" ht="15">
      <c r="B37" s="34" t="s">
        <v>32</v>
      </c>
      <c r="C37" s="12"/>
      <c r="D37" s="48"/>
      <c r="E37" s="12"/>
      <c r="F37" s="52">
        <v>0.1</v>
      </c>
      <c r="G37" s="12"/>
      <c r="H37" s="64">
        <f>+I56*F37</f>
        <v>148.11566666666667</v>
      </c>
      <c r="I37" s="66"/>
      <c r="J37" s="2"/>
    </row>
    <row r="38" spans="2:10" s="1" customFormat="1" ht="15">
      <c r="B38" s="34" t="s">
        <v>33</v>
      </c>
      <c r="C38" s="13"/>
      <c r="D38" s="49"/>
      <c r="E38" s="13"/>
      <c r="F38" s="43"/>
      <c r="G38" s="13"/>
      <c r="H38" s="65"/>
      <c r="I38" s="66"/>
      <c r="J38" s="2"/>
    </row>
    <row r="39" spans="2:10" s="1" customFormat="1" ht="15">
      <c r="B39" s="34" t="s">
        <v>34</v>
      </c>
      <c r="C39" s="4"/>
      <c r="D39" s="43"/>
      <c r="E39" s="4"/>
      <c r="F39" s="48"/>
      <c r="G39" s="12"/>
      <c r="H39" s="65"/>
      <c r="I39" s="66"/>
      <c r="J39" s="2"/>
    </row>
    <row r="40" spans="2:10" s="1" customFormat="1" ht="15">
      <c r="B40" s="34" t="s">
        <v>35</v>
      </c>
      <c r="C40" s="4"/>
      <c r="D40" s="48"/>
      <c r="E40" s="12"/>
      <c r="F40" s="48"/>
      <c r="G40" s="12"/>
      <c r="H40" s="65"/>
      <c r="I40" s="66"/>
      <c r="J40" s="2"/>
    </row>
    <row r="41" spans="2:10" s="1" customFormat="1" ht="15">
      <c r="B41" s="34"/>
      <c r="C41" s="4"/>
      <c r="D41" s="43"/>
      <c r="E41" s="4"/>
      <c r="F41" s="43"/>
      <c r="G41" s="4"/>
      <c r="H41" s="61"/>
      <c r="I41" s="66"/>
      <c r="J41" s="2"/>
    </row>
    <row r="42" spans="2:10" s="7" customFormat="1" ht="13.5" thickBot="1">
      <c r="B42" s="36"/>
      <c r="C42" s="8"/>
      <c r="D42" s="46" t="s">
        <v>36</v>
      </c>
      <c r="E42" s="8"/>
      <c r="F42" s="50"/>
      <c r="G42" s="14"/>
      <c r="H42" s="70">
        <f>SUM(H35:H40)</f>
        <v>268.22444822222224</v>
      </c>
      <c r="I42" s="68"/>
      <c r="J42" s="9"/>
    </row>
    <row r="43" spans="2:10" s="7" customFormat="1" ht="13.5" thickBot="1">
      <c r="B43" s="36"/>
      <c r="C43" s="8"/>
      <c r="D43" s="46" t="s">
        <v>37</v>
      </c>
      <c r="E43" s="8"/>
      <c r="F43" s="46"/>
      <c r="G43" s="21"/>
      <c r="H43" s="50"/>
      <c r="I43" s="67">
        <f>+I25-H42</f>
        <v>1212.9322184444445</v>
      </c>
      <c r="J43" s="9"/>
    </row>
    <row r="44" spans="2:10" s="1" customFormat="1" ht="15">
      <c r="B44" s="34"/>
      <c r="C44" s="4"/>
      <c r="D44" s="43" t="s">
        <v>38</v>
      </c>
      <c r="E44" s="4"/>
      <c r="F44" s="43"/>
      <c r="G44" s="43" t="s">
        <v>39</v>
      </c>
      <c r="H44" s="43"/>
      <c r="I44" s="60" t="s">
        <v>40</v>
      </c>
      <c r="J44" s="2"/>
    </row>
    <row r="45" spans="2:10" s="1" customFormat="1" ht="15">
      <c r="B45" s="34"/>
      <c r="C45" s="4"/>
      <c r="D45" s="43"/>
      <c r="E45" s="4"/>
      <c r="F45" s="43"/>
      <c r="G45" s="4"/>
      <c r="H45" s="43"/>
      <c r="I45" s="15"/>
      <c r="J45" s="2"/>
    </row>
    <row r="46" spans="2:10" s="1" customFormat="1" ht="15.75" thickBot="1">
      <c r="B46" s="35"/>
      <c r="C46" s="19"/>
      <c r="D46" s="44"/>
      <c r="E46" s="19"/>
      <c r="F46" s="44"/>
      <c r="G46" s="19"/>
      <c r="H46" s="44"/>
      <c r="I46" s="20"/>
      <c r="J46" s="2"/>
    </row>
    <row r="47" spans="3:10" s="1" customFormat="1" ht="16.5" thickBot="1" thickTop="1">
      <c r="C47" s="2"/>
      <c r="G47" s="2"/>
      <c r="I47" s="2"/>
      <c r="J47" s="2"/>
    </row>
    <row r="48" spans="2:10" s="24" customFormat="1" ht="13.5" thickTop="1">
      <c r="B48" s="39" t="s">
        <v>41</v>
      </c>
      <c r="C48" s="25"/>
      <c r="D48" s="53"/>
      <c r="E48" s="25"/>
      <c r="F48" s="53"/>
      <c r="G48" s="25"/>
      <c r="H48" s="53"/>
      <c r="I48" s="26"/>
      <c r="J48" s="27"/>
    </row>
    <row r="49" spans="2:11" s="1" customFormat="1" ht="15">
      <c r="B49" s="34" t="s">
        <v>42</v>
      </c>
      <c r="C49" s="4"/>
      <c r="D49" s="43"/>
      <c r="E49" s="4"/>
      <c r="F49" s="43"/>
      <c r="G49" s="4">
        <f>+J53</f>
        <v>1313.746</v>
      </c>
      <c r="H49" s="43"/>
      <c r="I49" s="15"/>
      <c r="J49" s="2" t="s">
        <v>82</v>
      </c>
      <c r="K49" s="1" t="s">
        <v>83</v>
      </c>
    </row>
    <row r="50" spans="2:11" s="1" customFormat="1" ht="15">
      <c r="B50" s="34"/>
      <c r="C50" s="43" t="s">
        <v>43</v>
      </c>
      <c r="D50" s="43"/>
      <c r="E50" s="12"/>
      <c r="F50" s="48"/>
      <c r="G50" s="71">
        <f>SUM(H10:H17)-H15-H16</f>
        <v>493.71666666666664</v>
      </c>
      <c r="H50" s="43"/>
      <c r="I50" s="15"/>
      <c r="J50" s="81">
        <f>+H10+H12</f>
        <v>493.71666666666664</v>
      </c>
      <c r="K50" s="81">
        <f>+J52</f>
        <v>576.0033333333333</v>
      </c>
    </row>
    <row r="51" spans="2:11" s="1" customFormat="1" ht="15">
      <c r="B51" s="34"/>
      <c r="C51" s="43" t="s">
        <v>44</v>
      </c>
      <c r="D51" s="43"/>
      <c r="E51" s="13"/>
      <c r="F51" s="49"/>
      <c r="G51" s="72">
        <f>2*(H10+H12)/12</f>
        <v>82.28611111111111</v>
      </c>
      <c r="H51" s="43"/>
      <c r="I51" s="15"/>
      <c r="J51" s="2">
        <f>246.86/30*10</f>
        <v>82.28666666666668</v>
      </c>
      <c r="K51" s="2"/>
    </row>
    <row r="52" spans="2:11" s="1" customFormat="1" ht="15">
      <c r="B52" s="34"/>
      <c r="C52" s="4"/>
      <c r="D52" s="43" t="s">
        <v>45</v>
      </c>
      <c r="E52" s="13"/>
      <c r="F52" s="49"/>
      <c r="G52" s="72">
        <f>SUM(G49:G51)</f>
        <v>1889.7487777777778</v>
      </c>
      <c r="H52" s="43"/>
      <c r="I52" s="73">
        <f>+G52</f>
        <v>1889.7487777777778</v>
      </c>
      <c r="J52" s="81">
        <f>SUM(J50:J51)</f>
        <v>576.0033333333333</v>
      </c>
      <c r="K52" s="81">
        <f>SUM(K50:K51)</f>
        <v>576.0033333333333</v>
      </c>
    </row>
    <row r="53" spans="2:11" s="1" customFormat="1" ht="15">
      <c r="B53" s="34" t="s">
        <v>46</v>
      </c>
      <c r="C53" s="4"/>
      <c r="D53" s="43"/>
      <c r="E53" s="4"/>
      <c r="F53" s="43"/>
      <c r="G53" s="4"/>
      <c r="H53" s="48"/>
      <c r="I53" s="74">
        <f>+K54</f>
        <v>1896.3993333333335</v>
      </c>
      <c r="J53" s="2">
        <f>+M22*21</f>
        <v>1313.746</v>
      </c>
      <c r="K53" s="2">
        <f>+(K22*6)+(M22*15)</f>
        <v>1320.3960000000002</v>
      </c>
    </row>
    <row r="54" spans="2:11" s="1" customFormat="1" ht="15">
      <c r="B54" s="34" t="s">
        <v>47</v>
      </c>
      <c r="C54" s="4"/>
      <c r="D54" s="43"/>
      <c r="E54" s="4"/>
      <c r="F54" s="48"/>
      <c r="G54" s="12"/>
      <c r="H54" s="48"/>
      <c r="I54" s="74"/>
      <c r="J54" s="81">
        <f>SUM(J53,J52)</f>
        <v>1889.7493333333334</v>
      </c>
      <c r="K54" s="81">
        <f>SUM(K53,K52)</f>
        <v>1896.3993333333335</v>
      </c>
    </row>
    <row r="55" spans="2:10" s="1" customFormat="1" ht="15">
      <c r="B55" s="34" t="s">
        <v>48</v>
      </c>
      <c r="C55" s="4"/>
      <c r="D55" s="43"/>
      <c r="E55" s="4"/>
      <c r="F55" s="49"/>
      <c r="G55" s="13"/>
      <c r="H55" s="49"/>
      <c r="I55" s="74"/>
      <c r="J55" s="2"/>
    </row>
    <row r="56" spans="2:10" s="1" customFormat="1" ht="15">
      <c r="B56" s="34" t="s">
        <v>49</v>
      </c>
      <c r="C56" s="4"/>
      <c r="D56" s="43"/>
      <c r="E56" s="12"/>
      <c r="F56" s="49"/>
      <c r="G56" s="13"/>
      <c r="H56" s="49"/>
      <c r="I56" s="74">
        <f>+I25</f>
        <v>1481.1566666666668</v>
      </c>
      <c r="J56" s="2"/>
    </row>
    <row r="57" spans="2:9" ht="13.5" thickBot="1">
      <c r="B57" s="40"/>
      <c r="C57" s="22"/>
      <c r="D57" s="54"/>
      <c r="E57" s="22"/>
      <c r="F57" s="54"/>
      <c r="G57" s="22"/>
      <c r="H57" s="54"/>
      <c r="I57" s="23"/>
    </row>
    <row r="58" spans="1:2" ht="15.75" thickTop="1">
      <c r="A58" s="76"/>
      <c r="B58" s="75"/>
    </row>
    <row r="59" ht="15">
      <c r="B59" s="75"/>
    </row>
    <row r="60" ht="15">
      <c r="B60" s="75"/>
    </row>
    <row r="61" ht="15">
      <c r="B61" s="75"/>
    </row>
  </sheetData>
  <sheetProtection/>
  <printOptions horizontalCentered="1" verticalCentered="1"/>
  <pageMargins left="0.7874015748031497" right="0.7874015748031497" top="0.1968503937007874" bottom="0.984251968503937" header="0" footer="0"/>
  <pageSetup fitToHeight="1" fitToWidth="1" horizontalDpi="300" verticalDpi="3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1"/>
  <sheetViews>
    <sheetView zoomScalePageLayoutView="0" workbookViewId="0" topLeftCell="A7">
      <selection activeCell="I56" sqref="I56"/>
    </sheetView>
  </sheetViews>
  <sheetFormatPr defaultColWidth="11.421875" defaultRowHeight="12.75"/>
  <cols>
    <col min="1" max="1" width="6.7109375" style="0" customWidth="1"/>
    <col min="2" max="2" width="11.421875" style="41" customWidth="1"/>
    <col min="3" max="3" width="12.00390625" style="3" bestFit="1" customWidth="1"/>
    <col min="4" max="4" width="11.421875" style="41" customWidth="1"/>
    <col min="5" max="5" width="11.421875" style="3" customWidth="1"/>
    <col min="6" max="6" width="13.7109375" style="41" customWidth="1"/>
    <col min="7" max="7" width="11.421875" style="3" customWidth="1"/>
    <col min="8" max="8" width="11.421875" style="41" customWidth="1"/>
    <col min="9" max="9" width="12.8515625" style="3" customWidth="1"/>
    <col min="10" max="10" width="11.421875" style="3" customWidth="1"/>
  </cols>
  <sheetData>
    <row r="1" spans="2:10" s="1" customFormat="1" ht="15.75" thickTop="1">
      <c r="B1" s="33" t="s">
        <v>0</v>
      </c>
      <c r="C1" s="17" t="s">
        <v>51</v>
      </c>
      <c r="D1" s="45"/>
      <c r="E1" s="17"/>
      <c r="F1" s="42" t="s">
        <v>4</v>
      </c>
      <c r="G1" s="17" t="s">
        <v>59</v>
      </c>
      <c r="H1" s="45"/>
      <c r="I1" s="18"/>
      <c r="J1" s="2"/>
    </row>
    <row r="2" spans="2:10" s="1" customFormat="1" ht="15">
      <c r="B2" s="34" t="s">
        <v>1</v>
      </c>
      <c r="C2" s="5" t="s">
        <v>52</v>
      </c>
      <c r="D2" s="55"/>
      <c r="E2" s="5"/>
      <c r="F2" s="43" t="s">
        <v>5</v>
      </c>
      <c r="G2" s="5" t="s">
        <v>60</v>
      </c>
      <c r="H2" s="51" t="s">
        <v>6</v>
      </c>
      <c r="I2" s="30">
        <v>315457780182</v>
      </c>
      <c r="J2" s="2"/>
    </row>
    <row r="3" spans="2:10" s="1" customFormat="1" ht="15">
      <c r="B3" s="34" t="s">
        <v>2</v>
      </c>
      <c r="C3" s="5" t="s">
        <v>53</v>
      </c>
      <c r="D3" s="43"/>
      <c r="E3" s="4"/>
      <c r="F3" s="43" t="s">
        <v>7</v>
      </c>
      <c r="G3" s="5" t="s">
        <v>61</v>
      </c>
      <c r="H3" s="55"/>
      <c r="I3" s="28"/>
      <c r="J3" s="2"/>
    </row>
    <row r="4" spans="2:10" s="1" customFormat="1" ht="15.75" thickBot="1">
      <c r="B4" s="35" t="s">
        <v>3</v>
      </c>
      <c r="C4" s="29">
        <v>31299472578</v>
      </c>
      <c r="D4" s="44"/>
      <c r="E4" s="19"/>
      <c r="F4" s="44" t="s">
        <v>8</v>
      </c>
      <c r="G4" s="19"/>
      <c r="H4" s="58">
        <v>3</v>
      </c>
      <c r="I4" s="20"/>
      <c r="J4" s="2"/>
    </row>
    <row r="5" spans="3:10" s="1" customFormat="1" ht="16.5" thickBot="1" thickTop="1">
      <c r="C5" s="2"/>
      <c r="E5" s="2"/>
      <c r="G5" s="2"/>
      <c r="I5" s="2"/>
      <c r="J5" s="2"/>
    </row>
    <row r="6" spans="2:10" s="1" customFormat="1" ht="15.75" thickTop="1">
      <c r="B6" s="33" t="s">
        <v>9</v>
      </c>
      <c r="C6" s="16"/>
      <c r="D6" s="45" t="s">
        <v>87</v>
      </c>
      <c r="E6" s="17"/>
      <c r="F6" s="45"/>
      <c r="G6" s="17"/>
      <c r="H6" s="59" t="s">
        <v>10</v>
      </c>
      <c r="I6" s="31">
        <v>30</v>
      </c>
      <c r="J6" s="2"/>
    </row>
    <row r="7" spans="2:10" s="7" customFormat="1" ht="12.75">
      <c r="B7" s="36" t="s">
        <v>11</v>
      </c>
      <c r="C7" s="8"/>
      <c r="D7" s="46"/>
      <c r="E7" s="8"/>
      <c r="F7" s="46"/>
      <c r="G7" s="8"/>
      <c r="H7" s="62"/>
      <c r="I7" s="32" t="s">
        <v>50</v>
      </c>
      <c r="J7" s="9"/>
    </row>
    <row r="8" spans="2:10" s="1" customFormat="1" ht="15">
      <c r="B8" s="34"/>
      <c r="C8" s="4"/>
      <c r="D8" s="43"/>
      <c r="E8" s="4"/>
      <c r="F8" s="43"/>
      <c r="G8" s="4"/>
      <c r="H8" s="61"/>
      <c r="I8" s="66"/>
      <c r="J8" s="2"/>
    </row>
    <row r="9" spans="2:10" s="1" customFormat="1" ht="15">
      <c r="B9" s="34" t="s">
        <v>12</v>
      </c>
      <c r="C9" s="4"/>
      <c r="D9" s="43"/>
      <c r="E9" s="4"/>
      <c r="F9" s="43"/>
      <c r="G9" s="4"/>
      <c r="H9" s="61"/>
      <c r="I9" s="66"/>
      <c r="J9" s="2"/>
    </row>
    <row r="10" spans="2:10" s="1" customFormat="1" ht="15">
      <c r="B10" s="34" t="s">
        <v>13</v>
      </c>
      <c r="C10" s="11"/>
      <c r="D10" s="47"/>
      <c r="E10" s="11"/>
      <c r="F10" s="47"/>
      <c r="G10" s="11"/>
      <c r="H10" s="64">
        <v>1077.26</v>
      </c>
      <c r="I10" s="66"/>
      <c r="J10" s="2"/>
    </row>
    <row r="11" spans="2:10" s="1" customFormat="1" ht="15">
      <c r="B11" s="34" t="s">
        <v>14</v>
      </c>
      <c r="C11" s="4"/>
      <c r="D11" s="43"/>
      <c r="E11" s="4"/>
      <c r="F11" s="43"/>
      <c r="G11" s="4"/>
      <c r="H11" s="61"/>
      <c r="I11" s="66"/>
      <c r="J11" s="2"/>
    </row>
    <row r="12" spans="2:10" s="1" customFormat="1" ht="15">
      <c r="B12" s="37" t="s">
        <v>57</v>
      </c>
      <c r="C12" s="6"/>
      <c r="D12" s="56"/>
      <c r="E12" s="12"/>
      <c r="F12" s="48"/>
      <c r="G12" s="12"/>
      <c r="H12" s="64">
        <f>0.05*H10</f>
        <v>53.863</v>
      </c>
      <c r="I12" s="66"/>
      <c r="J12" s="2"/>
    </row>
    <row r="13" spans="2:10" s="1" customFormat="1" ht="15">
      <c r="B13" s="38" t="s">
        <v>62</v>
      </c>
      <c r="C13" s="10"/>
      <c r="D13" s="57"/>
      <c r="E13" s="13"/>
      <c r="F13" s="49"/>
      <c r="G13" s="13"/>
      <c r="H13" s="65">
        <v>95.31</v>
      </c>
      <c r="I13" s="66"/>
      <c r="J13" s="2"/>
    </row>
    <row r="14" spans="2:10" s="1" customFormat="1" ht="15">
      <c r="B14" s="37" t="s">
        <v>58</v>
      </c>
      <c r="C14" s="6"/>
      <c r="D14" s="56"/>
      <c r="E14" s="13"/>
      <c r="F14" s="49"/>
      <c r="G14" s="13"/>
      <c r="H14" s="65">
        <v>15.67</v>
      </c>
      <c r="I14" s="66"/>
      <c r="J14" s="2"/>
    </row>
    <row r="15" spans="2:10" s="1" customFormat="1" ht="15">
      <c r="B15" s="34" t="s">
        <v>15</v>
      </c>
      <c r="C15" s="4"/>
      <c r="D15" s="48"/>
      <c r="E15" s="12"/>
      <c r="F15" s="48"/>
      <c r="G15" s="12"/>
      <c r="H15" s="65">
        <f>6*14+(6*14*1.25)</f>
        <v>189</v>
      </c>
      <c r="I15" s="66"/>
      <c r="J15" s="2"/>
    </row>
    <row r="16" spans="2:10" s="1" customFormat="1" ht="15">
      <c r="B16" s="34" t="s">
        <v>16</v>
      </c>
      <c r="C16" s="4"/>
      <c r="D16" s="43"/>
      <c r="E16" s="13"/>
      <c r="F16" s="49"/>
      <c r="G16" s="13"/>
      <c r="H16" s="65"/>
      <c r="I16" s="66"/>
      <c r="J16" s="2"/>
    </row>
    <row r="17" spans="2:10" s="1" customFormat="1" ht="15">
      <c r="B17" s="34" t="s">
        <v>17</v>
      </c>
      <c r="C17" s="4"/>
      <c r="D17" s="48"/>
      <c r="E17" s="12"/>
      <c r="F17" s="48"/>
      <c r="G17" s="12"/>
      <c r="H17" s="65"/>
      <c r="I17" s="66"/>
      <c r="J17" s="2"/>
    </row>
    <row r="18" spans="2:10" s="1" customFormat="1" ht="15">
      <c r="B18" s="34" t="s">
        <v>18</v>
      </c>
      <c r="C18" s="4"/>
      <c r="D18" s="43"/>
      <c r="E18" s="4"/>
      <c r="F18" s="43"/>
      <c r="G18" s="4"/>
      <c r="H18" s="61"/>
      <c r="I18" s="66"/>
      <c r="J18" s="2"/>
    </row>
    <row r="19" spans="2:10" s="1" customFormat="1" ht="15">
      <c r="B19" s="34" t="s">
        <v>19</v>
      </c>
      <c r="C19" s="4"/>
      <c r="D19" s="43"/>
      <c r="E19" s="4"/>
      <c r="F19" s="43"/>
      <c r="G19" s="4"/>
      <c r="H19" s="61"/>
      <c r="I19" s="66"/>
      <c r="J19" s="2"/>
    </row>
    <row r="20" spans="2:10" s="1" customFormat="1" ht="15">
      <c r="B20" s="37"/>
      <c r="C20" s="6"/>
      <c r="D20" s="56"/>
      <c r="E20" s="12"/>
      <c r="F20" s="48"/>
      <c r="G20" s="12"/>
      <c r="H20" s="64"/>
      <c r="I20" s="66"/>
      <c r="J20" s="2"/>
    </row>
    <row r="21" spans="2:10" s="1" customFormat="1" ht="15">
      <c r="B21" s="34" t="s">
        <v>20</v>
      </c>
      <c r="C21" s="4"/>
      <c r="D21" s="43"/>
      <c r="E21" s="4"/>
      <c r="F21" s="43"/>
      <c r="G21" s="4"/>
      <c r="H21" s="61"/>
      <c r="I21" s="66"/>
      <c r="J21" s="2"/>
    </row>
    <row r="22" spans="2:10" s="1" customFormat="1" ht="15">
      <c r="B22" s="37"/>
      <c r="C22" s="6"/>
      <c r="D22" s="56"/>
      <c r="E22" s="12"/>
      <c r="F22" s="48"/>
      <c r="G22" s="12"/>
      <c r="H22" s="64"/>
      <c r="I22" s="66"/>
      <c r="J22" s="2"/>
    </row>
    <row r="23" spans="2:10" s="1" customFormat="1" ht="15">
      <c r="B23" s="34" t="s">
        <v>21</v>
      </c>
      <c r="C23" s="4"/>
      <c r="D23" s="43"/>
      <c r="E23" s="4"/>
      <c r="F23" s="43"/>
      <c r="G23" s="4"/>
      <c r="H23" s="61"/>
      <c r="I23" s="66"/>
      <c r="J23" s="2"/>
    </row>
    <row r="24" spans="2:10" s="1" customFormat="1" ht="15">
      <c r="B24" s="37"/>
      <c r="C24" s="6"/>
      <c r="D24" s="56"/>
      <c r="E24" s="12"/>
      <c r="F24" s="48"/>
      <c r="G24" s="12"/>
      <c r="H24" s="64"/>
      <c r="I24" s="66"/>
      <c r="J24" s="2"/>
    </row>
    <row r="25" spans="2:10" s="7" customFormat="1" ht="13.5" thickBot="1">
      <c r="B25" s="36"/>
      <c r="C25" s="8"/>
      <c r="D25" s="46" t="s">
        <v>22</v>
      </c>
      <c r="E25" s="8"/>
      <c r="F25" s="50"/>
      <c r="G25" s="14"/>
      <c r="H25" s="50"/>
      <c r="I25" s="67">
        <f>SUM(H10:H24)</f>
        <v>1431.103</v>
      </c>
      <c r="J25" s="9"/>
    </row>
    <row r="26" spans="2:10" s="1" customFormat="1" ht="15">
      <c r="B26" s="34"/>
      <c r="C26" s="4"/>
      <c r="D26" s="43"/>
      <c r="E26" s="4"/>
      <c r="F26" s="43"/>
      <c r="G26" s="4"/>
      <c r="H26" s="43"/>
      <c r="I26" s="66"/>
      <c r="J26" s="2"/>
    </row>
    <row r="27" spans="2:10" s="7" customFormat="1" ht="12.75">
      <c r="B27" s="36" t="s">
        <v>23</v>
      </c>
      <c r="C27" s="8"/>
      <c r="D27" s="46"/>
      <c r="E27" s="8"/>
      <c r="F27" s="46"/>
      <c r="G27" s="8"/>
      <c r="H27" s="46"/>
      <c r="I27" s="68"/>
      <c r="J27" s="9"/>
    </row>
    <row r="28" spans="2:10" s="7" customFormat="1" ht="12.75">
      <c r="B28" s="36" t="s">
        <v>25</v>
      </c>
      <c r="C28" s="8"/>
      <c r="D28" s="46"/>
      <c r="E28" s="8"/>
      <c r="F28" s="46"/>
      <c r="G28" s="8"/>
      <c r="H28" s="46"/>
      <c r="I28" s="68"/>
      <c r="J28" s="9"/>
    </row>
    <row r="29" spans="2:10" s="1" customFormat="1" ht="15">
      <c r="B29" s="34"/>
      <c r="C29" s="4"/>
      <c r="D29" s="43"/>
      <c r="E29" s="4"/>
      <c r="F29" s="51" t="s">
        <v>26</v>
      </c>
      <c r="G29" s="4"/>
      <c r="H29" s="43"/>
      <c r="I29" s="66"/>
      <c r="J29" s="2"/>
    </row>
    <row r="30" spans="2:10" s="1" customFormat="1" ht="15">
      <c r="B30" s="34" t="s">
        <v>24</v>
      </c>
      <c r="C30" s="4"/>
      <c r="D30" s="48"/>
      <c r="E30" s="12"/>
      <c r="F30" s="63">
        <v>0.047</v>
      </c>
      <c r="G30" s="12"/>
      <c r="H30" s="64">
        <f>+I52*0.047</f>
        <v>67.9858995</v>
      </c>
      <c r="I30" s="66"/>
      <c r="J30" s="2"/>
    </row>
    <row r="31" spans="2:10" s="1" customFormat="1" ht="15">
      <c r="B31" s="34" t="s">
        <v>27</v>
      </c>
      <c r="C31" s="4"/>
      <c r="D31" s="49"/>
      <c r="E31" s="13"/>
      <c r="F31" s="63">
        <v>0.0155</v>
      </c>
      <c r="G31" s="13"/>
      <c r="H31" s="65">
        <f>+I53*0.0155</f>
        <v>25.35038175</v>
      </c>
      <c r="I31" s="66"/>
      <c r="J31" s="2"/>
    </row>
    <row r="32" spans="2:10" s="1" customFormat="1" ht="15">
      <c r="B32" s="34" t="s">
        <v>28</v>
      </c>
      <c r="C32" s="4"/>
      <c r="D32" s="49"/>
      <c r="E32" s="13"/>
      <c r="F32" s="63">
        <v>0.001</v>
      </c>
      <c r="G32" s="13"/>
      <c r="H32" s="65">
        <f>+I53*0.001</f>
        <v>1.6355085000000003</v>
      </c>
      <c r="I32" s="66"/>
      <c r="J32" s="2"/>
    </row>
    <row r="33" spans="2:10" s="1" customFormat="1" ht="15">
      <c r="B33" s="34" t="s">
        <v>29</v>
      </c>
      <c r="C33" s="4"/>
      <c r="D33" s="43"/>
      <c r="E33" s="13"/>
      <c r="F33" s="63">
        <v>0.047</v>
      </c>
      <c r="G33" s="13"/>
      <c r="H33" s="65">
        <f>+I54*0.047</f>
        <v>3.948</v>
      </c>
      <c r="I33" s="66"/>
      <c r="J33" s="2"/>
    </row>
    <row r="34" spans="2:10" s="1" customFormat="1" ht="15">
      <c r="B34" s="34" t="s">
        <v>30</v>
      </c>
      <c r="C34" s="4"/>
      <c r="D34" s="43"/>
      <c r="E34" s="13"/>
      <c r="F34" s="63">
        <v>0.02</v>
      </c>
      <c r="G34" s="13"/>
      <c r="H34" s="65">
        <f>+I55*0.02</f>
        <v>2.1</v>
      </c>
      <c r="I34" s="66"/>
      <c r="J34" s="2"/>
    </row>
    <row r="35" spans="2:10" s="7" customFormat="1" ht="12.75">
      <c r="B35" s="36" t="s">
        <v>31</v>
      </c>
      <c r="C35" s="8"/>
      <c r="D35" s="50"/>
      <c r="E35" s="14"/>
      <c r="F35" s="50"/>
      <c r="G35" s="14"/>
      <c r="H35" s="69">
        <f>SUM(H30:H34)</f>
        <v>101.01978974999999</v>
      </c>
      <c r="I35" s="68"/>
      <c r="J35" s="9"/>
    </row>
    <row r="36" spans="2:10" s="1" customFormat="1" ht="15">
      <c r="B36" s="34"/>
      <c r="C36" s="4"/>
      <c r="D36" s="43"/>
      <c r="E36" s="4"/>
      <c r="F36" s="43"/>
      <c r="G36" s="4"/>
      <c r="H36" s="61"/>
      <c r="I36" s="66"/>
      <c r="J36" s="2"/>
    </row>
    <row r="37" spans="2:10" s="1" customFormat="1" ht="15">
      <c r="B37" s="34" t="s">
        <v>32</v>
      </c>
      <c r="C37" s="12"/>
      <c r="D37" s="48"/>
      <c r="E37" s="12"/>
      <c r="F37" s="52">
        <v>0.1</v>
      </c>
      <c r="G37" s="12"/>
      <c r="H37" s="64">
        <f>+I56*F37</f>
        <v>143.11030000000002</v>
      </c>
      <c r="I37" s="66"/>
      <c r="J37" s="2"/>
    </row>
    <row r="38" spans="2:10" s="1" customFormat="1" ht="15">
      <c r="B38" s="34" t="s">
        <v>33</v>
      </c>
      <c r="C38" s="13"/>
      <c r="D38" s="49"/>
      <c r="E38" s="13"/>
      <c r="F38" s="43"/>
      <c r="G38" s="13"/>
      <c r="H38" s="65"/>
      <c r="I38" s="66"/>
      <c r="J38" s="2"/>
    </row>
    <row r="39" spans="2:10" s="1" customFormat="1" ht="15">
      <c r="B39" s="34" t="s">
        <v>34</v>
      </c>
      <c r="C39" s="4"/>
      <c r="D39" s="43"/>
      <c r="E39" s="4"/>
      <c r="F39" s="48"/>
      <c r="G39" s="12"/>
      <c r="H39" s="65"/>
      <c r="I39" s="66"/>
      <c r="J39" s="2"/>
    </row>
    <row r="40" spans="2:10" s="1" customFormat="1" ht="15">
      <c r="B40" s="34" t="s">
        <v>35</v>
      </c>
      <c r="C40" s="4"/>
      <c r="D40" s="48"/>
      <c r="E40" s="12"/>
      <c r="F40" s="48"/>
      <c r="G40" s="12"/>
      <c r="H40" s="65"/>
      <c r="I40" s="66"/>
      <c r="J40" s="2"/>
    </row>
    <row r="41" spans="2:10" s="1" customFormat="1" ht="15">
      <c r="B41" s="34"/>
      <c r="C41" s="4"/>
      <c r="D41" s="43"/>
      <c r="E41" s="4"/>
      <c r="F41" s="43"/>
      <c r="G41" s="4"/>
      <c r="H41" s="61"/>
      <c r="I41" s="66"/>
      <c r="J41" s="2"/>
    </row>
    <row r="42" spans="2:10" s="7" customFormat="1" ht="13.5" thickBot="1">
      <c r="B42" s="36"/>
      <c r="C42" s="8"/>
      <c r="D42" s="46" t="s">
        <v>36</v>
      </c>
      <c r="E42" s="8"/>
      <c r="F42" s="50"/>
      <c r="G42" s="14"/>
      <c r="H42" s="70">
        <f>SUM(H35:H40)</f>
        <v>244.13008975000002</v>
      </c>
      <c r="I42" s="68"/>
      <c r="J42" s="9"/>
    </row>
    <row r="43" spans="2:10" s="7" customFormat="1" ht="13.5" thickBot="1">
      <c r="B43" s="36"/>
      <c r="C43" s="8"/>
      <c r="D43" s="46" t="s">
        <v>37</v>
      </c>
      <c r="E43" s="8"/>
      <c r="F43" s="46"/>
      <c r="G43" s="21"/>
      <c r="H43" s="50"/>
      <c r="I43" s="67">
        <f>+I25-H42</f>
        <v>1186.97291025</v>
      </c>
      <c r="J43" s="9"/>
    </row>
    <row r="44" spans="2:10" s="1" customFormat="1" ht="15">
      <c r="B44" s="34"/>
      <c r="C44" s="4"/>
      <c r="D44" s="43" t="s">
        <v>38</v>
      </c>
      <c r="E44" s="4"/>
      <c r="F44" s="43"/>
      <c r="G44" s="43" t="s">
        <v>39</v>
      </c>
      <c r="H44" s="43"/>
      <c r="I44" s="60" t="s">
        <v>40</v>
      </c>
      <c r="J44" s="2"/>
    </row>
    <row r="45" spans="2:10" s="1" customFormat="1" ht="15">
      <c r="B45" s="34"/>
      <c r="C45" s="4"/>
      <c r="D45" s="43"/>
      <c r="E45" s="4"/>
      <c r="F45" s="43"/>
      <c r="G45" s="4"/>
      <c r="H45" s="43"/>
      <c r="I45" s="15"/>
      <c r="J45" s="2"/>
    </row>
    <row r="46" spans="2:10" s="1" customFormat="1" ht="15.75" thickBot="1">
      <c r="B46" s="35"/>
      <c r="C46" s="19"/>
      <c r="D46" s="44"/>
      <c r="E46" s="19"/>
      <c r="F46" s="44"/>
      <c r="G46" s="19"/>
      <c r="H46" s="44"/>
      <c r="I46" s="20"/>
      <c r="J46" s="2"/>
    </row>
    <row r="47" spans="3:10" s="1" customFormat="1" ht="16.5" thickBot="1" thickTop="1">
      <c r="C47" s="2"/>
      <c r="G47" s="2"/>
      <c r="I47" s="2"/>
      <c r="J47" s="2"/>
    </row>
    <row r="48" spans="2:10" s="24" customFormat="1" ht="13.5" thickTop="1">
      <c r="B48" s="39" t="s">
        <v>41</v>
      </c>
      <c r="C48" s="25"/>
      <c r="D48" s="53"/>
      <c r="E48" s="25"/>
      <c r="F48" s="53"/>
      <c r="G48" s="25"/>
      <c r="H48" s="53"/>
      <c r="I48" s="26"/>
      <c r="J48" s="27"/>
    </row>
    <row r="49" spans="2:10" s="1" customFormat="1" ht="15">
      <c r="B49" s="34" t="s">
        <v>42</v>
      </c>
      <c r="C49" s="4"/>
      <c r="D49" s="43"/>
      <c r="E49" s="4"/>
      <c r="F49" s="43"/>
      <c r="G49" s="4"/>
      <c r="H49" s="43"/>
      <c r="I49" s="15"/>
      <c r="J49" s="2"/>
    </row>
    <row r="50" spans="2:10" s="1" customFormat="1" ht="15">
      <c r="B50" s="34"/>
      <c r="C50" s="43" t="s">
        <v>43</v>
      </c>
      <c r="D50" s="43"/>
      <c r="E50" s="12"/>
      <c r="F50" s="48"/>
      <c r="G50" s="71">
        <f>SUM(H10:H17)-H15</f>
        <v>1242.103</v>
      </c>
      <c r="H50" s="43"/>
      <c r="I50" s="15"/>
      <c r="J50" s="2"/>
    </row>
    <row r="51" spans="2:10" s="1" customFormat="1" ht="15">
      <c r="B51" s="34"/>
      <c r="C51" s="43" t="s">
        <v>44</v>
      </c>
      <c r="D51" s="43"/>
      <c r="E51" s="13"/>
      <c r="F51" s="49"/>
      <c r="G51" s="72">
        <f>2*(H12+H13+H10)/12</f>
        <v>204.4055</v>
      </c>
      <c r="H51" s="43"/>
      <c r="I51" s="15"/>
      <c r="J51" s="2"/>
    </row>
    <row r="52" spans="2:10" s="1" customFormat="1" ht="15">
      <c r="B52" s="34"/>
      <c r="C52" s="4"/>
      <c r="D52" s="43" t="s">
        <v>45</v>
      </c>
      <c r="E52" s="13"/>
      <c r="F52" s="49"/>
      <c r="G52" s="72">
        <f>SUM(G50:G51)</f>
        <v>1446.5085000000001</v>
      </c>
      <c r="H52" s="43"/>
      <c r="I52" s="73">
        <f>+G52</f>
        <v>1446.5085000000001</v>
      </c>
      <c r="J52" s="2"/>
    </row>
    <row r="53" spans="2:10" s="1" customFormat="1" ht="15">
      <c r="B53" s="34" t="s">
        <v>46</v>
      </c>
      <c r="C53" s="4"/>
      <c r="D53" s="43"/>
      <c r="E53" s="4"/>
      <c r="F53" s="43"/>
      <c r="G53" s="4"/>
      <c r="H53" s="48"/>
      <c r="I53" s="74">
        <f>+G52+I54+I55</f>
        <v>1635.5085000000001</v>
      </c>
      <c r="J53" s="2"/>
    </row>
    <row r="54" spans="2:10" s="1" customFormat="1" ht="15">
      <c r="B54" s="34" t="s">
        <v>47</v>
      </c>
      <c r="C54" s="4"/>
      <c r="D54" s="43"/>
      <c r="E54" s="4"/>
      <c r="F54" s="48"/>
      <c r="G54" s="12"/>
      <c r="H54" s="48"/>
      <c r="I54" s="74">
        <v>84</v>
      </c>
      <c r="J54" s="2"/>
    </row>
    <row r="55" spans="2:10" s="1" customFormat="1" ht="15">
      <c r="B55" s="34" t="s">
        <v>48</v>
      </c>
      <c r="C55" s="4"/>
      <c r="D55" s="43"/>
      <c r="E55" s="4"/>
      <c r="F55" s="49"/>
      <c r="G55" s="13"/>
      <c r="H55" s="49"/>
      <c r="I55" s="74">
        <v>105</v>
      </c>
      <c r="J55" s="2"/>
    </row>
    <row r="56" spans="2:10" s="1" customFormat="1" ht="15">
      <c r="B56" s="34" t="s">
        <v>49</v>
      </c>
      <c r="C56" s="4"/>
      <c r="D56" s="43"/>
      <c r="E56" s="12"/>
      <c r="F56" s="49"/>
      <c r="G56" s="13"/>
      <c r="H56" s="49"/>
      <c r="I56" s="74">
        <f>+I25-H20</f>
        <v>1431.103</v>
      </c>
      <c r="J56" s="2"/>
    </row>
    <row r="57" spans="2:9" ht="13.5" thickBot="1">
      <c r="B57" s="40"/>
      <c r="C57" s="22"/>
      <c r="D57" s="54"/>
      <c r="E57" s="22"/>
      <c r="F57" s="54"/>
      <c r="G57" s="22"/>
      <c r="H57" s="54"/>
      <c r="I57" s="23"/>
    </row>
    <row r="58" spans="1:2" ht="15.75" thickTop="1">
      <c r="A58" s="76"/>
      <c r="B58" s="75"/>
    </row>
    <row r="59" ht="15">
      <c r="B59" s="75"/>
    </row>
    <row r="60" ht="15">
      <c r="B60" s="75"/>
    </row>
    <row r="61" ht="15">
      <c r="B61" s="75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1"/>
  <sheetViews>
    <sheetView tabSelected="1" zoomScalePageLayoutView="0" workbookViewId="0" topLeftCell="B7">
      <selection activeCell="K8" sqref="K8 K9 K10 K11 K12 K13 K16 K17 K18 K20 L20 M20 L19 L18 L17 L16"/>
    </sheetView>
  </sheetViews>
  <sheetFormatPr defaultColWidth="11.421875" defaultRowHeight="12.75"/>
  <cols>
    <col min="1" max="1" width="6.7109375" style="0" customWidth="1"/>
    <col min="2" max="2" width="11.421875" style="41" customWidth="1"/>
    <col min="3" max="3" width="12.00390625" style="3" bestFit="1" customWidth="1"/>
    <col min="4" max="4" width="11.421875" style="41" customWidth="1"/>
    <col min="5" max="5" width="11.421875" style="3" customWidth="1"/>
    <col min="6" max="6" width="13.7109375" style="41" customWidth="1"/>
    <col min="7" max="7" width="11.421875" style="3" customWidth="1"/>
    <col min="8" max="8" width="11.421875" style="41" customWidth="1"/>
    <col min="9" max="9" width="12.8515625" style="3" customWidth="1"/>
    <col min="10" max="10" width="11.421875" style="3" customWidth="1"/>
  </cols>
  <sheetData>
    <row r="1" spans="2:10" s="1" customFormat="1" ht="15.75" thickTop="1">
      <c r="B1" s="33" t="s">
        <v>0</v>
      </c>
      <c r="C1" s="17" t="s">
        <v>51</v>
      </c>
      <c r="D1" s="45"/>
      <c r="E1" s="17"/>
      <c r="F1" s="42" t="s">
        <v>4</v>
      </c>
      <c r="G1" s="17" t="s">
        <v>63</v>
      </c>
      <c r="H1" s="45"/>
      <c r="I1" s="18"/>
      <c r="J1" s="2"/>
    </row>
    <row r="2" spans="2:10" s="1" customFormat="1" ht="15">
      <c r="B2" s="34" t="s">
        <v>1</v>
      </c>
      <c r="C2" s="5" t="s">
        <v>52</v>
      </c>
      <c r="D2" s="55"/>
      <c r="E2" s="5"/>
      <c r="F2" s="43" t="s">
        <v>5</v>
      </c>
      <c r="G2" s="5" t="s">
        <v>64</v>
      </c>
      <c r="H2" s="51" t="s">
        <v>6</v>
      </c>
      <c r="I2" s="30">
        <v>314981733598</v>
      </c>
      <c r="J2" s="2"/>
    </row>
    <row r="3" spans="2:10" s="1" customFormat="1" ht="15">
      <c r="B3" s="34" t="s">
        <v>2</v>
      </c>
      <c r="C3" s="5" t="s">
        <v>53</v>
      </c>
      <c r="D3" s="43"/>
      <c r="E3" s="4"/>
      <c r="F3" s="43" t="s">
        <v>7</v>
      </c>
      <c r="G3" s="5" t="s">
        <v>65</v>
      </c>
      <c r="H3" s="55"/>
      <c r="I3" s="28"/>
      <c r="J3" s="2"/>
    </row>
    <row r="4" spans="2:10" s="1" customFormat="1" ht="15.75" thickBot="1">
      <c r="B4" s="35" t="s">
        <v>3</v>
      </c>
      <c r="C4" s="29">
        <v>31299472578</v>
      </c>
      <c r="D4" s="44"/>
      <c r="E4" s="19"/>
      <c r="F4" s="44" t="s">
        <v>8</v>
      </c>
      <c r="G4" s="19"/>
      <c r="H4" s="58"/>
      <c r="I4" s="20"/>
      <c r="J4" s="2"/>
    </row>
    <row r="5" spans="3:10" s="1" customFormat="1" ht="16.5" thickBot="1" thickTop="1">
      <c r="C5" s="2"/>
      <c r="E5" s="2"/>
      <c r="G5" s="2"/>
      <c r="I5" s="2"/>
      <c r="J5" s="2"/>
    </row>
    <row r="6" spans="2:10" s="1" customFormat="1" ht="15.75" thickTop="1">
      <c r="B6" s="33" t="s">
        <v>9</v>
      </c>
      <c r="C6" s="16"/>
      <c r="D6" s="45" t="s">
        <v>87</v>
      </c>
      <c r="E6" s="17"/>
      <c r="F6" s="45"/>
      <c r="G6" s="17"/>
      <c r="H6" s="59" t="s">
        <v>10</v>
      </c>
      <c r="I6" s="31">
        <v>30</v>
      </c>
      <c r="J6" s="2"/>
    </row>
    <row r="7" spans="2:10" s="7" customFormat="1" ht="12.75">
      <c r="B7" s="36" t="s">
        <v>11</v>
      </c>
      <c r="C7" s="8"/>
      <c r="D7" s="46"/>
      <c r="E7" s="8"/>
      <c r="F7" s="46"/>
      <c r="G7" s="8"/>
      <c r="H7" s="62"/>
      <c r="I7" s="32" t="s">
        <v>50</v>
      </c>
      <c r="J7" s="9"/>
    </row>
    <row r="8" spans="2:11" s="1" customFormat="1" ht="15">
      <c r="B8" s="34"/>
      <c r="C8" s="4"/>
      <c r="D8" s="43"/>
      <c r="E8" s="4"/>
      <c r="F8" s="43"/>
      <c r="G8" s="4"/>
      <c r="H8" s="61"/>
      <c r="I8" s="66"/>
      <c r="J8" s="2" t="s">
        <v>70</v>
      </c>
      <c r="K8" s="2">
        <f>1675.58/30</f>
        <v>55.852666666666664</v>
      </c>
    </row>
    <row r="9" spans="2:11" s="1" customFormat="1" ht="15">
      <c r="B9" s="34" t="s">
        <v>12</v>
      </c>
      <c r="C9" s="4"/>
      <c r="D9" s="43"/>
      <c r="E9" s="4"/>
      <c r="F9" s="43"/>
      <c r="G9" s="4"/>
      <c r="H9" s="61"/>
      <c r="I9" s="66"/>
      <c r="J9" s="80" t="s">
        <v>72</v>
      </c>
      <c r="K9" s="2">
        <f>+K8*0.6*0</f>
        <v>0</v>
      </c>
    </row>
    <row r="10" spans="2:11" s="1" customFormat="1" ht="15">
      <c r="B10" s="34" t="s">
        <v>13</v>
      </c>
      <c r="C10" s="11"/>
      <c r="D10" s="47"/>
      <c r="E10" s="11"/>
      <c r="F10" s="47"/>
      <c r="G10" s="11"/>
      <c r="H10" s="64">
        <f>1346.5/30*22</f>
        <v>987.4333333333333</v>
      </c>
      <c r="I10" s="66"/>
      <c r="J10" s="2" t="s">
        <v>73</v>
      </c>
      <c r="K10" s="2"/>
    </row>
    <row r="11" spans="2:11" s="1" customFormat="1" ht="15">
      <c r="B11" s="34" t="s">
        <v>14</v>
      </c>
      <c r="C11" s="4"/>
      <c r="D11" s="43"/>
      <c r="E11" s="4"/>
      <c r="F11" s="43"/>
      <c r="G11" s="4"/>
      <c r="H11" s="61"/>
      <c r="I11" s="66"/>
      <c r="J11" s="2" t="s">
        <v>92</v>
      </c>
      <c r="K11" s="2">
        <f>+K8*0.6*5</f>
        <v>167.55799999999996</v>
      </c>
    </row>
    <row r="12" spans="2:11" s="1" customFormat="1" ht="15">
      <c r="B12" s="37" t="s">
        <v>57</v>
      </c>
      <c r="C12" s="6"/>
      <c r="D12" s="56"/>
      <c r="E12" s="12"/>
      <c r="F12" s="48"/>
      <c r="G12" s="12"/>
      <c r="H12" s="64">
        <f>0.05*H10</f>
        <v>49.37166666666667</v>
      </c>
      <c r="I12" s="66"/>
      <c r="J12" s="1" t="s">
        <v>93</v>
      </c>
      <c r="K12" s="2">
        <f>+K8*0.75*4</f>
        <v>167.558</v>
      </c>
    </row>
    <row r="13" spans="2:11" s="1" customFormat="1" ht="15">
      <c r="B13" s="38" t="s">
        <v>58</v>
      </c>
      <c r="C13" s="10"/>
      <c r="D13" s="57"/>
      <c r="E13" s="13"/>
      <c r="F13" s="49"/>
      <c r="G13" s="13"/>
      <c r="H13" s="65"/>
      <c r="I13" s="66"/>
      <c r="K13" s="2">
        <f>SUM(K11:K12)</f>
        <v>335.116</v>
      </c>
    </row>
    <row r="14" spans="2:9" s="1" customFormat="1" ht="15">
      <c r="B14" s="37"/>
      <c r="C14" s="6"/>
      <c r="D14" s="56"/>
      <c r="E14" s="13"/>
      <c r="F14" s="49"/>
      <c r="G14" s="13"/>
      <c r="H14" s="65"/>
      <c r="I14" s="66"/>
    </row>
    <row r="15" spans="2:9" s="1" customFormat="1" ht="15">
      <c r="B15" s="34" t="s">
        <v>15</v>
      </c>
      <c r="C15" s="4"/>
      <c r="D15" s="48"/>
      <c r="E15" s="12"/>
      <c r="F15" s="48"/>
      <c r="G15" s="12"/>
      <c r="H15" s="65"/>
      <c r="I15" s="66"/>
    </row>
    <row r="16" spans="2:12" s="1" customFormat="1" ht="15">
      <c r="B16" s="34" t="s">
        <v>16</v>
      </c>
      <c r="C16" s="4"/>
      <c r="D16" s="43"/>
      <c r="E16" s="13"/>
      <c r="F16" s="49"/>
      <c r="G16" s="13"/>
      <c r="H16" s="65"/>
      <c r="I16" s="66"/>
      <c r="J16" s="2" t="s">
        <v>75</v>
      </c>
      <c r="K16" s="2" t="s">
        <v>76</v>
      </c>
      <c r="L16" s="2" t="s">
        <v>77</v>
      </c>
    </row>
    <row r="17" spans="2:12" s="1" customFormat="1" ht="15">
      <c r="B17" s="34" t="s">
        <v>17</v>
      </c>
      <c r="C17" s="4"/>
      <c r="D17" s="48"/>
      <c r="E17" s="12"/>
      <c r="F17" s="48"/>
      <c r="G17" s="12"/>
      <c r="H17" s="65"/>
      <c r="I17" s="66"/>
      <c r="J17" s="2" t="s">
        <v>78</v>
      </c>
      <c r="K17" s="2">
        <v>1346.5</v>
      </c>
      <c r="L17" s="81">
        <f>+H10</f>
        <v>987.4333333333333</v>
      </c>
    </row>
    <row r="18" spans="2:12" s="1" customFormat="1" ht="15">
      <c r="B18" s="34" t="s">
        <v>18</v>
      </c>
      <c r="C18" s="4"/>
      <c r="D18" s="43"/>
      <c r="E18" s="4"/>
      <c r="F18" s="43"/>
      <c r="G18" s="4"/>
      <c r="H18" s="61"/>
      <c r="I18" s="66"/>
      <c r="J18" s="2" t="s">
        <v>79</v>
      </c>
      <c r="K18" s="2">
        <v>67.33</v>
      </c>
      <c r="L18" s="81">
        <f>+H12</f>
        <v>49.37166666666667</v>
      </c>
    </row>
    <row r="19" spans="2:12" s="1" customFormat="1" ht="15">
      <c r="B19" s="34" t="s">
        <v>19</v>
      </c>
      <c r="C19" s="4"/>
      <c r="D19" s="43"/>
      <c r="E19" s="4"/>
      <c r="F19" s="43"/>
      <c r="G19" s="4"/>
      <c r="H19" s="61"/>
      <c r="I19" s="66"/>
      <c r="J19" s="2" t="s">
        <v>80</v>
      </c>
      <c r="L19" s="2">
        <f>+K13</f>
        <v>335.116</v>
      </c>
    </row>
    <row r="20" spans="2:13" s="1" customFormat="1" ht="15">
      <c r="B20" s="37" t="s">
        <v>74</v>
      </c>
      <c r="C20" s="6"/>
      <c r="D20" s="56"/>
      <c r="E20" s="12"/>
      <c r="F20" s="48"/>
      <c r="G20" s="12"/>
      <c r="H20" s="64">
        <f>+K13</f>
        <v>335.116</v>
      </c>
      <c r="I20" s="66"/>
      <c r="J20" s="2"/>
      <c r="K20" s="2">
        <f>SUM(K17:K19)</f>
        <v>1413.83</v>
      </c>
      <c r="L20" s="2">
        <f>SUM(L17:L19)</f>
        <v>1371.9209999999998</v>
      </c>
      <c r="M20" s="2">
        <f>+K20-L20</f>
        <v>41.909000000000106</v>
      </c>
    </row>
    <row r="21" spans="2:10" s="1" customFormat="1" ht="15">
      <c r="B21" s="34" t="s">
        <v>20</v>
      </c>
      <c r="C21" s="4"/>
      <c r="D21" s="43"/>
      <c r="E21" s="4"/>
      <c r="F21" s="43"/>
      <c r="G21" s="4"/>
      <c r="H21" s="61"/>
      <c r="I21" s="66"/>
      <c r="J21" s="2"/>
    </row>
    <row r="22" spans="2:10" s="1" customFormat="1" ht="15">
      <c r="B22" s="37"/>
      <c r="C22" s="6"/>
      <c r="D22" s="56"/>
      <c r="E22" s="12"/>
      <c r="F22" s="48"/>
      <c r="G22" s="12"/>
      <c r="H22" s="64"/>
      <c r="I22" s="66"/>
      <c r="J22" s="2"/>
    </row>
    <row r="23" spans="2:10" s="1" customFormat="1" ht="15">
      <c r="B23" s="34" t="s">
        <v>21</v>
      </c>
      <c r="C23" s="4"/>
      <c r="D23" s="43"/>
      <c r="E23" s="4"/>
      <c r="F23" s="43"/>
      <c r="G23" s="4"/>
      <c r="H23" s="61"/>
      <c r="I23" s="66"/>
      <c r="J23" s="2"/>
    </row>
    <row r="24" spans="2:10" s="1" customFormat="1" ht="15">
      <c r="B24" s="37" t="s">
        <v>81</v>
      </c>
      <c r="C24" s="6"/>
      <c r="D24" s="56"/>
      <c r="E24" s="12"/>
      <c r="F24" s="48"/>
      <c r="G24" s="12"/>
      <c r="H24" s="64">
        <f>+M20</f>
        <v>41.909000000000106</v>
      </c>
      <c r="I24" s="66"/>
      <c r="J24" s="2"/>
    </row>
    <row r="25" spans="2:10" s="7" customFormat="1" ht="13.5" thickBot="1">
      <c r="B25" s="36"/>
      <c r="C25" s="8"/>
      <c r="D25" s="46" t="s">
        <v>22</v>
      </c>
      <c r="E25" s="8"/>
      <c r="F25" s="50"/>
      <c r="G25" s="14"/>
      <c r="H25" s="50"/>
      <c r="I25" s="67">
        <f>SUM(H10:H24)</f>
        <v>1413.83</v>
      </c>
      <c r="J25" s="9"/>
    </row>
    <row r="26" spans="2:10" s="1" customFormat="1" ht="15">
      <c r="B26" s="34"/>
      <c r="C26" s="4"/>
      <c r="D26" s="43"/>
      <c r="E26" s="4"/>
      <c r="F26" s="43"/>
      <c r="G26" s="4"/>
      <c r="H26" s="43"/>
      <c r="I26" s="66"/>
      <c r="J26" s="2"/>
    </row>
    <row r="27" spans="2:10" s="7" customFormat="1" ht="12.75">
      <c r="B27" s="36" t="s">
        <v>23</v>
      </c>
      <c r="C27" s="8"/>
      <c r="D27" s="46"/>
      <c r="E27" s="8"/>
      <c r="F27" s="46"/>
      <c r="G27" s="8"/>
      <c r="H27" s="46"/>
      <c r="I27" s="68"/>
      <c r="J27" s="9"/>
    </row>
    <row r="28" spans="2:10" s="7" customFormat="1" ht="12.75">
      <c r="B28" s="36" t="s">
        <v>25</v>
      </c>
      <c r="C28" s="8"/>
      <c r="D28" s="46"/>
      <c r="E28" s="8"/>
      <c r="F28" s="46"/>
      <c r="G28" s="8"/>
      <c r="H28" s="46"/>
      <c r="I28" s="68"/>
      <c r="J28" s="9"/>
    </row>
    <row r="29" spans="2:10" s="1" customFormat="1" ht="15">
      <c r="B29" s="34"/>
      <c r="C29" s="4"/>
      <c r="D29" s="43"/>
      <c r="E29" s="4"/>
      <c r="F29" s="51" t="s">
        <v>26</v>
      </c>
      <c r="G29" s="4"/>
      <c r="H29" s="43"/>
      <c r="I29" s="66"/>
      <c r="J29" s="2"/>
    </row>
    <row r="30" spans="2:10" s="1" customFormat="1" ht="15">
      <c r="B30" s="34" t="s">
        <v>24</v>
      </c>
      <c r="C30" s="4"/>
      <c r="D30" s="48"/>
      <c r="E30" s="12"/>
      <c r="F30" s="63">
        <v>0.047</v>
      </c>
      <c r="G30" s="12"/>
      <c r="H30" s="64">
        <f>+I52*0.047</f>
        <v>80.47723833333333</v>
      </c>
      <c r="I30" s="66"/>
      <c r="J30" s="2"/>
    </row>
    <row r="31" spans="2:10" s="1" customFormat="1" ht="15">
      <c r="B31" s="34" t="s">
        <v>27</v>
      </c>
      <c r="C31" s="4"/>
      <c r="D31" s="49"/>
      <c r="E31" s="13"/>
      <c r="F31" s="63">
        <v>0.0155</v>
      </c>
      <c r="G31" s="13"/>
      <c r="H31" s="65">
        <f>+I53*0.0155</f>
        <v>26.540365833333333</v>
      </c>
      <c r="I31" s="66"/>
      <c r="J31" s="2"/>
    </row>
    <row r="32" spans="2:10" s="1" customFormat="1" ht="15">
      <c r="B32" s="34" t="s">
        <v>28</v>
      </c>
      <c r="C32" s="4"/>
      <c r="D32" s="49"/>
      <c r="E32" s="13"/>
      <c r="F32" s="63">
        <v>0.001</v>
      </c>
      <c r="G32" s="13"/>
      <c r="H32" s="65">
        <f>+I53*0.001</f>
        <v>1.7122816666666665</v>
      </c>
      <c r="I32" s="66"/>
      <c r="J32" s="2"/>
    </row>
    <row r="33" spans="2:10" s="1" customFormat="1" ht="15">
      <c r="B33" s="34" t="s">
        <v>29</v>
      </c>
      <c r="C33" s="4"/>
      <c r="D33" s="43"/>
      <c r="E33" s="13"/>
      <c r="F33" s="63">
        <v>0.047</v>
      </c>
      <c r="G33" s="13"/>
      <c r="H33" s="65">
        <f>+I54*0.047</f>
        <v>0</v>
      </c>
      <c r="I33" s="66"/>
      <c r="J33" s="2"/>
    </row>
    <row r="34" spans="2:10" s="1" customFormat="1" ht="15">
      <c r="B34" s="34" t="s">
        <v>30</v>
      </c>
      <c r="C34" s="4"/>
      <c r="D34" s="43"/>
      <c r="E34" s="13"/>
      <c r="F34" s="63">
        <v>0.02</v>
      </c>
      <c r="G34" s="13"/>
      <c r="H34" s="65">
        <f>+I55*0.02</f>
        <v>0</v>
      </c>
      <c r="I34" s="66"/>
      <c r="J34" s="2"/>
    </row>
    <row r="35" spans="2:10" s="7" customFormat="1" ht="12.75">
      <c r="B35" s="36" t="s">
        <v>31</v>
      </c>
      <c r="C35" s="8"/>
      <c r="D35" s="50"/>
      <c r="E35" s="14"/>
      <c r="F35" s="50"/>
      <c r="G35" s="14"/>
      <c r="H35" s="69">
        <f>SUM(H30:H34)</f>
        <v>108.72988583333334</v>
      </c>
      <c r="I35" s="68"/>
      <c r="J35" s="9"/>
    </row>
    <row r="36" spans="2:10" s="1" customFormat="1" ht="15">
      <c r="B36" s="34"/>
      <c r="C36" s="4"/>
      <c r="D36" s="43"/>
      <c r="E36" s="4"/>
      <c r="F36" s="43"/>
      <c r="G36" s="4"/>
      <c r="H36" s="61"/>
      <c r="I36" s="66"/>
      <c r="J36" s="2"/>
    </row>
    <row r="37" spans="2:10" s="1" customFormat="1" ht="15">
      <c r="B37" s="34" t="s">
        <v>32</v>
      </c>
      <c r="C37" s="12"/>
      <c r="D37" s="48"/>
      <c r="E37" s="12"/>
      <c r="F37" s="52">
        <v>0.1</v>
      </c>
      <c r="G37" s="12"/>
      <c r="H37" s="64">
        <f>+I56*F37</f>
        <v>141.383</v>
      </c>
      <c r="I37" s="66"/>
      <c r="J37" s="2"/>
    </row>
    <row r="38" spans="2:10" s="1" customFormat="1" ht="15">
      <c r="B38" s="34" t="s">
        <v>33</v>
      </c>
      <c r="C38" s="13"/>
      <c r="D38" s="49"/>
      <c r="E38" s="13"/>
      <c r="F38" s="43"/>
      <c r="G38" s="13"/>
      <c r="H38" s="65"/>
      <c r="I38" s="66"/>
      <c r="J38" s="2"/>
    </row>
    <row r="39" spans="2:10" s="1" customFormat="1" ht="15">
      <c r="B39" s="34" t="s">
        <v>34</v>
      </c>
      <c r="C39" s="4"/>
      <c r="D39" s="43"/>
      <c r="E39" s="4"/>
      <c r="F39" s="48"/>
      <c r="G39" s="12"/>
      <c r="H39" s="65"/>
      <c r="I39" s="66"/>
      <c r="J39" s="2"/>
    </row>
    <row r="40" spans="2:10" s="1" customFormat="1" ht="15">
      <c r="B40" s="34" t="s">
        <v>35</v>
      </c>
      <c r="C40" s="4"/>
      <c r="D40" s="48"/>
      <c r="E40" s="12"/>
      <c r="F40" s="48"/>
      <c r="G40" s="12"/>
      <c r="H40" s="65"/>
      <c r="I40" s="66"/>
      <c r="J40" s="2"/>
    </row>
    <row r="41" spans="2:10" s="1" customFormat="1" ht="15">
      <c r="B41" s="34"/>
      <c r="C41" s="4"/>
      <c r="D41" s="43"/>
      <c r="E41" s="4"/>
      <c r="F41" s="43"/>
      <c r="G41" s="4"/>
      <c r="H41" s="61"/>
      <c r="I41" s="66"/>
      <c r="J41" s="2"/>
    </row>
    <row r="42" spans="2:10" s="7" customFormat="1" ht="13.5" thickBot="1">
      <c r="B42" s="36"/>
      <c r="C42" s="8"/>
      <c r="D42" s="46" t="s">
        <v>36</v>
      </c>
      <c r="E42" s="8"/>
      <c r="F42" s="50"/>
      <c r="G42" s="14"/>
      <c r="H42" s="70">
        <f>SUM(H35:H40)</f>
        <v>250.11288583333334</v>
      </c>
      <c r="I42" s="68"/>
      <c r="J42" s="9"/>
    </row>
    <row r="43" spans="2:10" s="7" customFormat="1" ht="13.5" thickBot="1">
      <c r="B43" s="36"/>
      <c r="C43" s="8"/>
      <c r="D43" s="46" t="s">
        <v>37</v>
      </c>
      <c r="E43" s="8"/>
      <c r="F43" s="46"/>
      <c r="G43" s="21"/>
      <c r="H43" s="50"/>
      <c r="I43" s="67">
        <f>+I25-H42</f>
        <v>1163.7171141666665</v>
      </c>
      <c r="J43" s="9"/>
    </row>
    <row r="44" spans="2:10" s="1" customFormat="1" ht="15">
      <c r="B44" s="34"/>
      <c r="C44" s="4"/>
      <c r="D44" s="43" t="s">
        <v>38</v>
      </c>
      <c r="E44" s="4"/>
      <c r="F44" s="43"/>
      <c r="G44" s="43" t="s">
        <v>39</v>
      </c>
      <c r="H44" s="43"/>
      <c r="I44" s="60" t="s">
        <v>40</v>
      </c>
      <c r="J44" s="2"/>
    </row>
    <row r="45" spans="2:10" s="1" customFormat="1" ht="15">
      <c r="B45" s="34"/>
      <c r="C45" s="4"/>
      <c r="D45" s="43"/>
      <c r="E45" s="4"/>
      <c r="F45" s="43"/>
      <c r="G45" s="4"/>
      <c r="H45" s="43"/>
      <c r="I45" s="15"/>
      <c r="J45" s="2"/>
    </row>
    <row r="46" spans="2:10" s="1" customFormat="1" ht="15.75" thickBot="1">
      <c r="B46" s="35"/>
      <c r="C46" s="19"/>
      <c r="D46" s="44"/>
      <c r="E46" s="19"/>
      <c r="F46" s="44"/>
      <c r="G46" s="19"/>
      <c r="H46" s="44"/>
      <c r="I46" s="20"/>
      <c r="J46" s="2"/>
    </row>
    <row r="47" spans="3:10" s="1" customFormat="1" ht="16.5" thickBot="1" thickTop="1">
      <c r="C47" s="2"/>
      <c r="G47" s="2"/>
      <c r="I47" s="2"/>
      <c r="J47" s="2"/>
    </row>
    <row r="48" spans="2:10" s="24" customFormat="1" ht="13.5" thickTop="1">
      <c r="B48" s="39" t="s">
        <v>41</v>
      </c>
      <c r="C48" s="25"/>
      <c r="D48" s="53"/>
      <c r="E48" s="25"/>
      <c r="F48" s="53"/>
      <c r="G48" s="25"/>
      <c r="H48" s="53"/>
      <c r="I48" s="26"/>
      <c r="J48" s="27"/>
    </row>
    <row r="49" spans="2:12" s="1" customFormat="1" ht="15">
      <c r="B49" s="34" t="s">
        <v>42</v>
      </c>
      <c r="C49" s="4"/>
      <c r="D49" s="43"/>
      <c r="E49" s="4"/>
      <c r="F49" s="43"/>
      <c r="G49" s="4">
        <f>+K53</f>
        <v>502.674</v>
      </c>
      <c r="H49" s="43"/>
      <c r="I49" s="15"/>
      <c r="J49" s="2"/>
      <c r="K49" s="2" t="s">
        <v>82</v>
      </c>
      <c r="L49" s="2" t="s">
        <v>83</v>
      </c>
    </row>
    <row r="50" spans="2:12" s="1" customFormat="1" ht="15">
      <c r="B50" s="34"/>
      <c r="C50" s="43" t="s">
        <v>43</v>
      </c>
      <c r="D50" s="43"/>
      <c r="E50" s="12"/>
      <c r="F50" s="48"/>
      <c r="G50" s="71">
        <f>SUM(H10:H17)-H15</f>
        <v>1036.8049999999998</v>
      </c>
      <c r="H50" s="43"/>
      <c r="I50" s="15"/>
      <c r="J50" s="2"/>
      <c r="K50" s="81">
        <f>+H10+H12</f>
        <v>1036.8049999999998</v>
      </c>
      <c r="L50" s="81">
        <f>+K52</f>
        <v>1209.6076666666665</v>
      </c>
    </row>
    <row r="51" spans="2:12" s="1" customFormat="1" ht="15">
      <c r="B51" s="34"/>
      <c r="C51" s="43" t="s">
        <v>44</v>
      </c>
      <c r="D51" s="43"/>
      <c r="E51" s="13"/>
      <c r="F51" s="49"/>
      <c r="G51" s="72">
        <f>+K51</f>
        <v>172.80266666666665</v>
      </c>
      <c r="H51" s="43"/>
      <c r="I51" s="15"/>
      <c r="J51" s="2"/>
      <c r="K51" s="2">
        <f>235.64/30*22</f>
        <v>172.80266666666665</v>
      </c>
      <c r="L51" s="2"/>
    </row>
    <row r="52" spans="2:12" s="1" customFormat="1" ht="15">
      <c r="B52" s="34"/>
      <c r="C52" s="4"/>
      <c r="D52" s="43" t="s">
        <v>45</v>
      </c>
      <c r="E52" s="13"/>
      <c r="F52" s="49"/>
      <c r="G52" s="72">
        <f>SUM(G49:G51)</f>
        <v>1712.2816666666665</v>
      </c>
      <c r="H52" s="43"/>
      <c r="I52" s="73">
        <f>+G52</f>
        <v>1712.2816666666665</v>
      </c>
      <c r="J52" s="2"/>
      <c r="K52" s="82">
        <f>SUM(K50:K51)</f>
        <v>1209.6076666666665</v>
      </c>
      <c r="L52" s="82">
        <f>SUM(L50:L51)</f>
        <v>1209.6076666666665</v>
      </c>
    </row>
    <row r="53" spans="2:12" s="1" customFormat="1" ht="15">
      <c r="B53" s="34" t="s">
        <v>46</v>
      </c>
      <c r="C53" s="4"/>
      <c r="D53" s="43"/>
      <c r="E53" s="4"/>
      <c r="F53" s="43"/>
      <c r="G53" s="4"/>
      <c r="H53" s="48"/>
      <c r="I53" s="74">
        <f>+L54</f>
        <v>1712.2816666666665</v>
      </c>
      <c r="J53" s="2"/>
      <c r="K53" s="2">
        <f>1675.58/30*9</f>
        <v>502.674</v>
      </c>
      <c r="L53" s="2">
        <f>+K8*9</f>
        <v>502.674</v>
      </c>
    </row>
    <row r="54" spans="2:12" s="1" customFormat="1" ht="15">
      <c r="B54" s="34" t="s">
        <v>47</v>
      </c>
      <c r="C54" s="4"/>
      <c r="D54" s="43"/>
      <c r="E54" s="4"/>
      <c r="F54" s="48"/>
      <c r="G54" s="12"/>
      <c r="H54" s="48"/>
      <c r="I54" s="74"/>
      <c r="J54" s="2"/>
      <c r="K54" s="82">
        <f>+K52+K53</f>
        <v>1712.2816666666665</v>
      </c>
      <c r="L54" s="82">
        <f>+L52+L53</f>
        <v>1712.2816666666665</v>
      </c>
    </row>
    <row r="55" spans="2:10" s="1" customFormat="1" ht="15">
      <c r="B55" s="34" t="s">
        <v>48</v>
      </c>
      <c r="C55" s="4"/>
      <c r="D55" s="43"/>
      <c r="E55" s="4"/>
      <c r="F55" s="49"/>
      <c r="G55" s="13"/>
      <c r="H55" s="49"/>
      <c r="I55" s="74"/>
      <c r="J55" s="2"/>
    </row>
    <row r="56" spans="2:10" s="1" customFormat="1" ht="15">
      <c r="B56" s="34" t="s">
        <v>49</v>
      </c>
      <c r="C56" s="4"/>
      <c r="D56" s="43"/>
      <c r="E56" s="12"/>
      <c r="F56" s="49"/>
      <c r="G56" s="13"/>
      <c r="H56" s="49"/>
      <c r="I56" s="74">
        <f>+I25</f>
        <v>1413.83</v>
      </c>
      <c r="J56" s="2"/>
    </row>
    <row r="57" spans="2:9" ht="13.5" thickBot="1">
      <c r="B57" s="40"/>
      <c r="C57" s="22"/>
      <c r="D57" s="54"/>
      <c r="E57" s="22"/>
      <c r="F57" s="54"/>
      <c r="G57" s="22"/>
      <c r="H57" s="54"/>
      <c r="I57" s="23"/>
    </row>
    <row r="58" spans="1:2" ht="15.75" thickTop="1">
      <c r="A58" s="76"/>
      <c r="B58" s="75"/>
    </row>
    <row r="59" ht="15">
      <c r="B59" s="75"/>
    </row>
    <row r="60" ht="15">
      <c r="B60" s="75"/>
    </row>
    <row r="61" ht="15">
      <c r="B61" s="75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61"/>
  <sheetViews>
    <sheetView zoomScalePageLayoutView="0" workbookViewId="0" topLeftCell="A40">
      <selection activeCell="I54" sqref="I54"/>
    </sheetView>
  </sheetViews>
  <sheetFormatPr defaultColWidth="11.421875" defaultRowHeight="12.75"/>
  <cols>
    <col min="1" max="1" width="6.7109375" style="0" customWidth="1"/>
    <col min="2" max="2" width="11.421875" style="41" customWidth="1"/>
    <col min="3" max="3" width="12.00390625" style="3" bestFit="1" customWidth="1"/>
    <col min="4" max="4" width="11.421875" style="41" customWidth="1"/>
    <col min="5" max="5" width="11.421875" style="3" customWidth="1"/>
    <col min="6" max="6" width="13.7109375" style="41" customWidth="1"/>
    <col min="7" max="7" width="11.421875" style="3" customWidth="1"/>
    <col min="8" max="8" width="11.421875" style="41" customWidth="1"/>
    <col min="9" max="9" width="12.8515625" style="3" customWidth="1"/>
    <col min="10" max="10" width="11.421875" style="3" customWidth="1"/>
  </cols>
  <sheetData>
    <row r="1" spans="2:10" s="1" customFormat="1" ht="15.75" thickTop="1">
      <c r="B1" s="33" t="s">
        <v>0</v>
      </c>
      <c r="C1" s="17" t="s">
        <v>51</v>
      </c>
      <c r="D1" s="45"/>
      <c r="E1" s="17"/>
      <c r="F1" s="42" t="s">
        <v>4</v>
      </c>
      <c r="G1" s="17" t="s">
        <v>66</v>
      </c>
      <c r="H1" s="45"/>
      <c r="I1" s="18"/>
      <c r="J1" s="2"/>
    </row>
    <row r="2" spans="2:10" s="1" customFormat="1" ht="15">
      <c r="B2" s="34" t="s">
        <v>1</v>
      </c>
      <c r="C2" s="5" t="s">
        <v>52</v>
      </c>
      <c r="D2" s="55"/>
      <c r="E2" s="5"/>
      <c r="F2" s="43" t="s">
        <v>5</v>
      </c>
      <c r="G2" s="5" t="s">
        <v>67</v>
      </c>
      <c r="H2" s="51" t="s">
        <v>6</v>
      </c>
      <c r="I2" s="30">
        <v>316768025921</v>
      </c>
      <c r="J2" s="2"/>
    </row>
    <row r="3" spans="2:10" s="1" customFormat="1" ht="15">
      <c r="B3" s="34" t="s">
        <v>2</v>
      </c>
      <c r="C3" s="5" t="s">
        <v>53</v>
      </c>
      <c r="D3" s="43"/>
      <c r="E3" s="4"/>
      <c r="F3" s="43" t="s">
        <v>7</v>
      </c>
      <c r="G3" s="5" t="s">
        <v>68</v>
      </c>
      <c r="H3" s="55"/>
      <c r="I3" s="28"/>
      <c r="J3" s="2"/>
    </row>
    <row r="4" spans="2:10" s="1" customFormat="1" ht="15.75" thickBot="1">
      <c r="B4" s="35" t="s">
        <v>3</v>
      </c>
      <c r="C4" s="29">
        <v>31299472578</v>
      </c>
      <c r="D4" s="44"/>
      <c r="E4" s="19"/>
      <c r="F4" s="44" t="s">
        <v>8</v>
      </c>
      <c r="G4" s="19"/>
      <c r="H4" s="58"/>
      <c r="I4" s="20"/>
      <c r="J4" s="2"/>
    </row>
    <row r="5" spans="3:10" s="1" customFormat="1" ht="16.5" thickBot="1" thickTop="1">
      <c r="C5" s="2"/>
      <c r="E5" s="2"/>
      <c r="G5" s="2"/>
      <c r="I5" s="2"/>
      <c r="J5" s="2"/>
    </row>
    <row r="6" spans="2:10" s="1" customFormat="1" ht="15.75" thickTop="1">
      <c r="B6" s="33" t="s">
        <v>9</v>
      </c>
      <c r="C6" s="16"/>
      <c r="D6" s="45" t="s">
        <v>71</v>
      </c>
      <c r="E6" s="17"/>
      <c r="F6" s="45"/>
      <c r="G6" s="17"/>
      <c r="H6" s="59" t="s">
        <v>10</v>
      </c>
      <c r="I6" s="31">
        <v>30</v>
      </c>
      <c r="J6" s="2"/>
    </row>
    <row r="7" spans="2:10" s="7" customFormat="1" ht="12.75">
      <c r="B7" s="36" t="s">
        <v>11</v>
      </c>
      <c r="C7" s="8"/>
      <c r="D7" s="46"/>
      <c r="E7" s="8"/>
      <c r="F7" s="46"/>
      <c r="G7" s="8"/>
      <c r="H7" s="62"/>
      <c r="I7" s="32" t="s">
        <v>50</v>
      </c>
      <c r="J7" s="9"/>
    </row>
    <row r="8" spans="2:10" s="1" customFormat="1" ht="15">
      <c r="B8" s="34"/>
      <c r="C8" s="4"/>
      <c r="D8" s="43"/>
      <c r="E8" s="4"/>
      <c r="F8" s="43"/>
      <c r="G8" s="4"/>
      <c r="H8" s="61"/>
      <c r="I8" s="66"/>
      <c r="J8" s="2"/>
    </row>
    <row r="9" spans="2:10" s="1" customFormat="1" ht="15">
      <c r="B9" s="34" t="s">
        <v>12</v>
      </c>
      <c r="C9" s="4"/>
      <c r="D9" s="43"/>
      <c r="E9" s="4"/>
      <c r="F9" s="43"/>
      <c r="G9" s="4"/>
      <c r="H9" s="61"/>
      <c r="I9" s="66"/>
      <c r="J9" s="2"/>
    </row>
    <row r="10" spans="2:10" s="1" customFormat="1" ht="15">
      <c r="B10" s="34" t="s">
        <v>13</v>
      </c>
      <c r="C10" s="11"/>
      <c r="D10" s="47"/>
      <c r="E10" s="11"/>
      <c r="F10" s="47"/>
      <c r="G10" s="11"/>
      <c r="H10" s="64">
        <f>1077.26</f>
        <v>1077.26</v>
      </c>
      <c r="I10" s="66"/>
      <c r="J10" s="2"/>
    </row>
    <row r="11" spans="2:10" s="1" customFormat="1" ht="15">
      <c r="B11" s="34" t="s">
        <v>14</v>
      </c>
      <c r="C11" s="4"/>
      <c r="D11" s="43"/>
      <c r="E11" s="4"/>
      <c r="F11" s="43"/>
      <c r="G11" s="4"/>
      <c r="H11" s="61"/>
      <c r="I11" s="66"/>
      <c r="J11" s="2"/>
    </row>
    <row r="12" spans="2:10" s="1" customFormat="1" ht="15">
      <c r="B12" s="37" t="s">
        <v>69</v>
      </c>
      <c r="C12" s="6"/>
      <c r="D12" s="56"/>
      <c r="E12" s="12"/>
      <c r="F12" s="48"/>
      <c r="G12" s="12"/>
      <c r="H12" s="64">
        <f>95.31</f>
        <v>95.31</v>
      </c>
      <c r="I12" s="66"/>
      <c r="J12" s="2"/>
    </row>
    <row r="13" spans="2:10" s="1" customFormat="1" ht="15">
      <c r="B13" s="38" t="s">
        <v>58</v>
      </c>
      <c r="C13" s="10"/>
      <c r="D13" s="57"/>
      <c r="E13" s="13"/>
      <c r="F13" s="49"/>
      <c r="G13" s="13"/>
      <c r="H13" s="65">
        <v>36.56</v>
      </c>
      <c r="I13" s="66"/>
      <c r="J13" s="2"/>
    </row>
    <row r="14" spans="2:10" s="1" customFormat="1" ht="15">
      <c r="B14" s="37" t="s">
        <v>94</v>
      </c>
      <c r="C14" s="6"/>
      <c r="D14" s="56"/>
      <c r="E14" s="13"/>
      <c r="F14" s="49"/>
      <c r="G14" s="13"/>
      <c r="H14" s="65">
        <f>+H10/30*4*0.25</f>
        <v>35.90866666666667</v>
      </c>
      <c r="I14" s="66"/>
      <c r="J14" s="2"/>
    </row>
    <row r="15" spans="2:10" s="1" customFormat="1" ht="15">
      <c r="B15" s="34" t="s">
        <v>15</v>
      </c>
      <c r="C15" s="4"/>
      <c r="D15" s="48"/>
      <c r="E15" s="12"/>
      <c r="F15" s="48"/>
      <c r="G15" s="12"/>
      <c r="H15" s="65"/>
      <c r="I15" s="66"/>
      <c r="J15" s="2"/>
    </row>
    <row r="16" spans="2:10" s="1" customFormat="1" ht="15">
      <c r="B16" s="34" t="s">
        <v>16</v>
      </c>
      <c r="C16" s="4"/>
      <c r="D16" s="43"/>
      <c r="E16" s="13"/>
      <c r="F16" s="49"/>
      <c r="G16" s="13"/>
      <c r="H16" s="65"/>
      <c r="I16" s="66"/>
      <c r="J16" s="2"/>
    </row>
    <row r="17" spans="2:10" s="1" customFormat="1" ht="15">
      <c r="B17" s="34" t="s">
        <v>17</v>
      </c>
      <c r="C17" s="4"/>
      <c r="D17" s="48"/>
      <c r="E17" s="12"/>
      <c r="F17" s="48"/>
      <c r="G17" s="12"/>
      <c r="H17" s="65"/>
      <c r="I17" s="66"/>
      <c r="J17" s="2"/>
    </row>
    <row r="18" spans="2:10" s="1" customFormat="1" ht="15">
      <c r="B18" s="34" t="s">
        <v>18</v>
      </c>
      <c r="C18" s="4"/>
      <c r="D18" s="43"/>
      <c r="E18" s="4"/>
      <c r="F18" s="43"/>
      <c r="G18" s="4"/>
      <c r="H18" s="61"/>
      <c r="I18" s="66"/>
      <c r="J18" s="2"/>
    </row>
    <row r="19" spans="2:10" s="1" customFormat="1" ht="15">
      <c r="B19" s="34" t="s">
        <v>19</v>
      </c>
      <c r="C19" s="4"/>
      <c r="D19" s="43"/>
      <c r="E19" s="4"/>
      <c r="F19" s="43"/>
      <c r="G19" s="4"/>
      <c r="H19" s="61"/>
      <c r="I19" s="66"/>
      <c r="J19" s="2"/>
    </row>
    <row r="20" spans="2:10" s="1" customFormat="1" ht="15">
      <c r="B20" s="37"/>
      <c r="C20" s="6"/>
      <c r="D20" s="56"/>
      <c r="E20" s="12"/>
      <c r="F20" s="48"/>
      <c r="G20" s="12"/>
      <c r="H20" s="64"/>
      <c r="I20" s="66"/>
      <c r="J20" s="2"/>
    </row>
    <row r="21" spans="2:10" s="1" customFormat="1" ht="15">
      <c r="B21" s="34" t="s">
        <v>20</v>
      </c>
      <c r="C21" s="4"/>
      <c r="D21" s="43"/>
      <c r="E21" s="4"/>
      <c r="F21" s="43"/>
      <c r="G21" s="4"/>
      <c r="H21" s="61"/>
      <c r="I21" s="66"/>
      <c r="J21" s="2"/>
    </row>
    <row r="22" spans="2:10" s="1" customFormat="1" ht="15">
      <c r="B22" s="37"/>
      <c r="C22" s="6"/>
      <c r="D22" s="56"/>
      <c r="E22" s="12"/>
      <c r="F22" s="48"/>
      <c r="G22" s="12"/>
      <c r="H22" s="64"/>
      <c r="I22" s="66"/>
      <c r="J22" s="2"/>
    </row>
    <row r="23" spans="2:10" s="1" customFormat="1" ht="15">
      <c r="B23" s="34" t="s">
        <v>21</v>
      </c>
      <c r="C23" s="4"/>
      <c r="D23" s="43"/>
      <c r="E23" s="4"/>
      <c r="F23" s="43"/>
      <c r="G23" s="4"/>
      <c r="H23" s="61"/>
      <c r="I23" s="66"/>
      <c r="J23" s="2"/>
    </row>
    <row r="24" spans="2:10" s="1" customFormat="1" ht="15">
      <c r="B24" s="37"/>
      <c r="C24" s="6"/>
      <c r="D24" s="56"/>
      <c r="E24" s="12"/>
      <c r="F24" s="48"/>
      <c r="G24" s="12"/>
      <c r="H24" s="64"/>
      <c r="I24" s="66"/>
      <c r="J24" s="2"/>
    </row>
    <row r="25" spans="2:12" s="7" customFormat="1" ht="15.75" thickBot="1">
      <c r="B25" s="36"/>
      <c r="C25" s="8"/>
      <c r="D25" s="46" t="s">
        <v>22</v>
      </c>
      <c r="E25" s="8"/>
      <c r="F25" s="50"/>
      <c r="G25" s="14"/>
      <c r="H25" s="50"/>
      <c r="I25" s="67">
        <f>SUM(H10:H24)</f>
        <v>1245.0386666666666</v>
      </c>
      <c r="J25" s="2"/>
      <c r="K25" s="1"/>
      <c r="L25" s="1"/>
    </row>
    <row r="26" spans="2:10" s="1" customFormat="1" ht="15">
      <c r="B26" s="34"/>
      <c r="C26" s="4"/>
      <c r="D26" s="43"/>
      <c r="E26" s="4"/>
      <c r="F26" s="43"/>
      <c r="G26" s="4"/>
      <c r="H26" s="43"/>
      <c r="I26" s="66"/>
      <c r="J26" s="2"/>
    </row>
    <row r="27" spans="2:12" s="7" customFormat="1" ht="15">
      <c r="B27" s="36" t="s">
        <v>23</v>
      </c>
      <c r="C27" s="8"/>
      <c r="D27" s="46"/>
      <c r="E27" s="8"/>
      <c r="F27" s="46"/>
      <c r="G27" s="8"/>
      <c r="H27" s="46"/>
      <c r="I27" s="68"/>
      <c r="J27" s="9"/>
      <c r="K27" s="1"/>
      <c r="L27" s="1"/>
    </row>
    <row r="28" spans="2:13" s="7" customFormat="1" ht="12.75">
      <c r="B28" s="36" t="s">
        <v>25</v>
      </c>
      <c r="C28" s="8"/>
      <c r="D28" s="46"/>
      <c r="E28" s="8"/>
      <c r="F28" s="46"/>
      <c r="G28" s="8"/>
      <c r="H28" s="46"/>
      <c r="I28" s="68"/>
      <c r="J28" s="9"/>
      <c r="M28" s="7">
        <f>+K28-L28</f>
        <v>0</v>
      </c>
    </row>
    <row r="29" spans="2:10" s="1" customFormat="1" ht="15">
      <c r="B29" s="34"/>
      <c r="C29" s="4"/>
      <c r="D29" s="43"/>
      <c r="E29" s="4"/>
      <c r="F29" s="51" t="s">
        <v>26</v>
      </c>
      <c r="G29" s="4"/>
      <c r="H29" s="43"/>
      <c r="I29" s="66"/>
      <c r="J29" s="2"/>
    </row>
    <row r="30" spans="2:10" s="1" customFormat="1" ht="15">
      <c r="B30" s="34" t="s">
        <v>24</v>
      </c>
      <c r="C30" s="4"/>
      <c r="D30" s="48"/>
      <c r="E30" s="12"/>
      <c r="F30" s="63">
        <v>0.047</v>
      </c>
      <c r="G30" s="12"/>
      <c r="H30" s="64">
        <f>+I52*0.047</f>
        <v>67.701949</v>
      </c>
      <c r="I30" s="66"/>
      <c r="J30" s="2"/>
    </row>
    <row r="31" spans="2:10" s="1" customFormat="1" ht="15">
      <c r="B31" s="34" t="s">
        <v>27</v>
      </c>
      <c r="C31" s="4"/>
      <c r="D31" s="49"/>
      <c r="E31" s="13"/>
      <c r="F31" s="63">
        <v>0.0155</v>
      </c>
      <c r="G31" s="13"/>
      <c r="H31" s="65">
        <f>+I53*0.0155</f>
        <v>22.327238499999996</v>
      </c>
      <c r="I31" s="66"/>
      <c r="J31" s="2"/>
    </row>
    <row r="32" spans="2:10" s="1" customFormat="1" ht="15">
      <c r="B32" s="34" t="s">
        <v>28</v>
      </c>
      <c r="C32" s="4"/>
      <c r="D32" s="49"/>
      <c r="E32" s="13"/>
      <c r="F32" s="63">
        <v>0.001</v>
      </c>
      <c r="G32" s="13"/>
      <c r="H32" s="65">
        <f>+I53*0.001</f>
        <v>1.440467</v>
      </c>
      <c r="I32" s="66"/>
      <c r="J32" s="2"/>
    </row>
    <row r="33" spans="2:10" s="1" customFormat="1" ht="15">
      <c r="B33" s="34" t="s">
        <v>29</v>
      </c>
      <c r="C33" s="4"/>
      <c r="D33" s="43"/>
      <c r="E33" s="13"/>
      <c r="F33" s="63">
        <v>0.047</v>
      </c>
      <c r="G33" s="13"/>
      <c r="H33" s="65">
        <f>+I54*0.047</f>
        <v>0</v>
      </c>
      <c r="I33" s="66"/>
      <c r="J33" s="2"/>
    </row>
    <row r="34" spans="2:10" s="1" customFormat="1" ht="15">
      <c r="B34" s="34" t="s">
        <v>30</v>
      </c>
      <c r="C34" s="4"/>
      <c r="D34" s="43"/>
      <c r="E34" s="13"/>
      <c r="F34" s="63">
        <v>0.02</v>
      </c>
      <c r="G34" s="13"/>
      <c r="H34" s="65">
        <f>+I55*0.02</f>
        <v>0</v>
      </c>
      <c r="I34" s="66"/>
      <c r="J34" s="2"/>
    </row>
    <row r="35" spans="2:11" s="7" customFormat="1" ht="15">
      <c r="B35" s="36" t="s">
        <v>31</v>
      </c>
      <c r="C35" s="8"/>
      <c r="D35" s="50"/>
      <c r="E35" s="14"/>
      <c r="F35" s="50"/>
      <c r="G35" s="14"/>
      <c r="H35" s="69">
        <f>SUM(H30:H34)</f>
        <v>91.46965449999999</v>
      </c>
      <c r="I35" s="68"/>
      <c r="J35" s="9"/>
      <c r="K35" s="1"/>
    </row>
    <row r="36" spans="2:11" s="1" customFormat="1" ht="15">
      <c r="B36" s="34"/>
      <c r="C36" s="4"/>
      <c r="D36" s="43"/>
      <c r="E36" s="4"/>
      <c r="F36" s="43"/>
      <c r="G36" s="4"/>
      <c r="H36" s="61"/>
      <c r="I36" s="66"/>
      <c r="J36" s="2"/>
      <c r="K36" s="78"/>
    </row>
    <row r="37" spans="2:10" s="1" customFormat="1" ht="15">
      <c r="B37" s="34" t="s">
        <v>32</v>
      </c>
      <c r="C37" s="12"/>
      <c r="D37" s="48"/>
      <c r="E37" s="12"/>
      <c r="F37" s="52">
        <v>0.1</v>
      </c>
      <c r="G37" s="12"/>
      <c r="H37" s="64">
        <f>+I56*F37</f>
        <v>124.50386666666667</v>
      </c>
      <c r="I37" s="66"/>
      <c r="J37" s="2"/>
    </row>
    <row r="38" spans="2:10" s="1" customFormat="1" ht="15">
      <c r="B38" s="34" t="s">
        <v>33</v>
      </c>
      <c r="C38" s="13"/>
      <c r="D38" s="49"/>
      <c r="E38" s="13"/>
      <c r="F38" s="43"/>
      <c r="G38" s="13"/>
      <c r="H38" s="65"/>
      <c r="I38" s="66"/>
      <c r="J38" s="2"/>
    </row>
    <row r="39" spans="2:10" s="1" customFormat="1" ht="15">
      <c r="B39" s="34" t="s">
        <v>34</v>
      </c>
      <c r="C39" s="4"/>
      <c r="D39" s="43"/>
      <c r="E39" s="4"/>
      <c r="F39" s="48"/>
      <c r="G39" s="12"/>
      <c r="H39" s="65"/>
      <c r="I39" s="66"/>
      <c r="J39" s="2"/>
    </row>
    <row r="40" spans="2:10" s="1" customFormat="1" ht="15">
      <c r="B40" s="34" t="s">
        <v>35</v>
      </c>
      <c r="C40" s="4"/>
      <c r="D40" s="48"/>
      <c r="E40" s="12"/>
      <c r="F40" s="48"/>
      <c r="G40" s="12"/>
      <c r="H40" s="65"/>
      <c r="I40" s="66"/>
      <c r="J40" s="2"/>
    </row>
    <row r="41" spans="2:10" s="1" customFormat="1" ht="15">
      <c r="B41" s="34"/>
      <c r="C41" s="4"/>
      <c r="D41" s="43"/>
      <c r="E41" s="4"/>
      <c r="F41" s="43"/>
      <c r="G41" s="4"/>
      <c r="H41" s="61"/>
      <c r="I41" s="66"/>
      <c r="J41" s="2"/>
    </row>
    <row r="42" spans="2:10" s="7" customFormat="1" ht="13.5" thickBot="1">
      <c r="B42" s="36"/>
      <c r="C42" s="8"/>
      <c r="D42" s="46" t="s">
        <v>36</v>
      </c>
      <c r="E42" s="8"/>
      <c r="F42" s="50"/>
      <c r="G42" s="14"/>
      <c r="H42" s="70">
        <f>SUM(H35:H40)</f>
        <v>215.97352116666667</v>
      </c>
      <c r="I42" s="68"/>
      <c r="J42" s="9"/>
    </row>
    <row r="43" spans="2:10" s="7" customFormat="1" ht="13.5" thickBot="1">
      <c r="B43" s="36"/>
      <c r="C43" s="8"/>
      <c r="D43" s="46" t="s">
        <v>37</v>
      </c>
      <c r="E43" s="8"/>
      <c r="F43" s="46"/>
      <c r="G43" s="21"/>
      <c r="H43" s="50"/>
      <c r="I43" s="67">
        <f>+I25-H42</f>
        <v>1029.0651455</v>
      </c>
      <c r="J43" s="9"/>
    </row>
    <row r="44" spans="2:10" s="1" customFormat="1" ht="15">
      <c r="B44" s="34"/>
      <c r="C44" s="4"/>
      <c r="D44" s="43" t="s">
        <v>38</v>
      </c>
      <c r="E44" s="4"/>
      <c r="F44" s="43"/>
      <c r="G44" s="43" t="s">
        <v>39</v>
      </c>
      <c r="H44" s="43"/>
      <c r="I44" s="60" t="s">
        <v>40</v>
      </c>
      <c r="J44" s="2"/>
    </row>
    <row r="45" spans="2:10" s="1" customFormat="1" ht="15">
      <c r="B45" s="34"/>
      <c r="C45" s="4"/>
      <c r="D45" s="43"/>
      <c r="E45" s="4"/>
      <c r="F45" s="43"/>
      <c r="G45" s="4"/>
      <c r="H45" s="43"/>
      <c r="I45" s="15"/>
      <c r="J45" s="2"/>
    </row>
    <row r="46" spans="2:10" s="1" customFormat="1" ht="15.75" thickBot="1">
      <c r="B46" s="35"/>
      <c r="C46" s="19"/>
      <c r="D46" s="44"/>
      <c r="E46" s="19"/>
      <c r="F46" s="44"/>
      <c r="G46" s="19"/>
      <c r="H46" s="44"/>
      <c r="I46" s="20"/>
      <c r="J46" s="2"/>
    </row>
    <row r="47" spans="3:10" s="1" customFormat="1" ht="16.5" thickBot="1" thickTop="1">
      <c r="C47" s="2"/>
      <c r="G47" s="2"/>
      <c r="I47" s="2"/>
      <c r="J47" s="2"/>
    </row>
    <row r="48" spans="2:10" s="24" customFormat="1" ht="13.5" thickTop="1">
      <c r="B48" s="39" t="s">
        <v>41</v>
      </c>
      <c r="C48" s="25"/>
      <c r="D48" s="53"/>
      <c r="E48" s="25"/>
      <c r="F48" s="53"/>
      <c r="G48" s="25"/>
      <c r="H48" s="53"/>
      <c r="I48" s="26"/>
      <c r="J48" s="27"/>
    </row>
    <row r="49" spans="2:10" s="1" customFormat="1" ht="15">
      <c r="B49" s="34" t="s">
        <v>42</v>
      </c>
      <c r="C49" s="4"/>
      <c r="D49" s="43"/>
      <c r="E49" s="4"/>
      <c r="F49" s="43"/>
      <c r="G49" s="77"/>
      <c r="H49" s="43"/>
      <c r="I49" s="15"/>
      <c r="J49" s="2"/>
    </row>
    <row r="50" spans="2:10" s="1" customFormat="1" ht="15">
      <c r="B50" s="34"/>
      <c r="C50" s="43" t="s">
        <v>43</v>
      </c>
      <c r="D50" s="43"/>
      <c r="E50" s="12"/>
      <c r="F50" s="48"/>
      <c r="G50" s="71">
        <f>SUM(H10:H17)-H15</f>
        <v>1245.0386666666666</v>
      </c>
      <c r="H50" s="43"/>
      <c r="I50" s="15"/>
      <c r="J50" s="2"/>
    </row>
    <row r="51" spans="2:10" s="1" customFormat="1" ht="15">
      <c r="B51" s="34"/>
      <c r="C51" s="43" t="s">
        <v>44</v>
      </c>
      <c r="D51" s="43"/>
      <c r="E51" s="13"/>
      <c r="F51" s="49"/>
      <c r="G51" s="72">
        <f>2*(H10+H12)/12</f>
        <v>195.4283333333333</v>
      </c>
      <c r="H51" s="43"/>
      <c r="I51" s="15"/>
      <c r="J51" s="2"/>
    </row>
    <row r="52" spans="2:10" s="1" customFormat="1" ht="15">
      <c r="B52" s="34"/>
      <c r="C52" s="4"/>
      <c r="D52" s="43" t="s">
        <v>45</v>
      </c>
      <c r="E52" s="13"/>
      <c r="F52" s="49"/>
      <c r="G52" s="72">
        <f>SUM(G49:G51)</f>
        <v>1440.4669999999999</v>
      </c>
      <c r="H52" s="43"/>
      <c r="I52" s="73">
        <f>+G52</f>
        <v>1440.4669999999999</v>
      </c>
      <c r="J52" s="2"/>
    </row>
    <row r="53" spans="2:10" s="1" customFormat="1" ht="15">
      <c r="B53" s="34" t="s">
        <v>46</v>
      </c>
      <c r="C53" s="4"/>
      <c r="D53" s="43"/>
      <c r="E53" s="4"/>
      <c r="F53" s="43"/>
      <c r="G53" s="4"/>
      <c r="H53" s="48"/>
      <c r="I53" s="74">
        <f>+I52+I54+I55</f>
        <v>1440.4669999999999</v>
      </c>
      <c r="J53" s="2"/>
    </row>
    <row r="54" spans="2:10" s="1" customFormat="1" ht="15">
      <c r="B54" s="34" t="s">
        <v>47</v>
      </c>
      <c r="C54" s="4"/>
      <c r="D54" s="43"/>
      <c r="E54" s="4"/>
      <c r="F54" s="48"/>
      <c r="G54" s="12"/>
      <c r="H54" s="48"/>
      <c r="I54" s="74"/>
      <c r="J54" s="2"/>
    </row>
    <row r="55" spans="2:10" s="1" customFormat="1" ht="15">
      <c r="B55" s="34" t="s">
        <v>48</v>
      </c>
      <c r="C55" s="4"/>
      <c r="D55" s="43"/>
      <c r="E55" s="4"/>
      <c r="F55" s="49"/>
      <c r="G55" s="13"/>
      <c r="H55" s="49"/>
      <c r="I55" s="74"/>
      <c r="J55" s="2"/>
    </row>
    <row r="56" spans="2:10" s="1" customFormat="1" ht="15">
      <c r="B56" s="34" t="s">
        <v>49</v>
      </c>
      <c r="C56" s="4"/>
      <c r="D56" s="43"/>
      <c r="E56" s="12"/>
      <c r="F56" s="49"/>
      <c r="G56" s="13"/>
      <c r="H56" s="49"/>
      <c r="I56" s="74">
        <f>+I25-H20</f>
        <v>1245.0386666666666</v>
      </c>
      <c r="J56" s="2"/>
    </row>
    <row r="57" spans="2:9" ht="13.5" thickBot="1">
      <c r="B57" s="40"/>
      <c r="C57" s="22"/>
      <c r="D57" s="54"/>
      <c r="E57" s="22"/>
      <c r="F57" s="54"/>
      <c r="G57" s="22"/>
      <c r="H57" s="54"/>
      <c r="I57" s="23"/>
    </row>
    <row r="58" spans="1:2" ht="15.75" thickTop="1">
      <c r="A58" s="76"/>
      <c r="B58" s="75"/>
    </row>
    <row r="59" ht="15">
      <c r="B59" s="75"/>
    </row>
    <row r="60" ht="15">
      <c r="B60" s="75"/>
    </row>
    <row r="61" ht="15">
      <c r="B61" s="7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1"/>
  <sheetViews>
    <sheetView zoomScalePageLayoutView="0" workbookViewId="0" topLeftCell="A35">
      <selection activeCell="I56" sqref="I56"/>
    </sheetView>
  </sheetViews>
  <sheetFormatPr defaultColWidth="11.421875" defaultRowHeight="12.75"/>
  <cols>
    <col min="1" max="1" width="6.7109375" style="0" customWidth="1"/>
    <col min="2" max="2" width="11.421875" style="41" customWidth="1"/>
    <col min="3" max="3" width="12.00390625" style="3" bestFit="1" customWidth="1"/>
    <col min="4" max="4" width="11.421875" style="41" customWidth="1"/>
    <col min="5" max="5" width="11.421875" style="3" customWidth="1"/>
    <col min="6" max="6" width="13.7109375" style="41" customWidth="1"/>
    <col min="7" max="7" width="11.421875" style="3" customWidth="1"/>
    <col min="8" max="8" width="11.421875" style="41" customWidth="1"/>
    <col min="9" max="9" width="12.8515625" style="3" customWidth="1"/>
    <col min="10" max="10" width="11.421875" style="3" customWidth="1"/>
  </cols>
  <sheetData>
    <row r="1" spans="2:10" s="1" customFormat="1" ht="15.75" thickTop="1">
      <c r="B1" s="33" t="s">
        <v>0</v>
      </c>
      <c r="C1" s="17" t="s">
        <v>51</v>
      </c>
      <c r="D1" s="45"/>
      <c r="E1" s="17"/>
      <c r="F1" s="42" t="s">
        <v>4</v>
      </c>
      <c r="G1" s="17" t="s">
        <v>84</v>
      </c>
      <c r="H1" s="45"/>
      <c r="I1" s="18"/>
      <c r="J1" s="2"/>
    </row>
    <row r="2" spans="2:10" s="1" customFormat="1" ht="15">
      <c r="B2" s="34" t="s">
        <v>1</v>
      </c>
      <c r="C2" s="5" t="s">
        <v>52</v>
      </c>
      <c r="D2" s="55"/>
      <c r="E2" s="5"/>
      <c r="F2" s="43" t="s">
        <v>5</v>
      </c>
      <c r="G2" s="5" t="s">
        <v>85</v>
      </c>
      <c r="H2" s="51" t="s">
        <v>6</v>
      </c>
      <c r="I2" s="30">
        <v>318263429016</v>
      </c>
      <c r="J2" s="2"/>
    </row>
    <row r="3" spans="2:10" s="1" customFormat="1" ht="15">
      <c r="B3" s="34" t="s">
        <v>2</v>
      </c>
      <c r="C3" s="5" t="s">
        <v>53</v>
      </c>
      <c r="D3" s="43"/>
      <c r="E3" s="4"/>
      <c r="F3" s="43" t="s">
        <v>7</v>
      </c>
      <c r="G3" s="5" t="s">
        <v>86</v>
      </c>
      <c r="H3" s="55"/>
      <c r="I3" s="28"/>
      <c r="J3" s="2"/>
    </row>
    <row r="4" spans="2:10" s="1" customFormat="1" ht="15.75" thickBot="1">
      <c r="B4" s="35" t="s">
        <v>3</v>
      </c>
      <c r="C4" s="29">
        <v>31299472578</v>
      </c>
      <c r="D4" s="44"/>
      <c r="E4" s="19"/>
      <c r="F4" s="44" t="s">
        <v>8</v>
      </c>
      <c r="G4" s="19"/>
      <c r="H4" s="58">
        <v>12</v>
      </c>
      <c r="I4" s="20"/>
      <c r="J4" s="2"/>
    </row>
    <row r="5" spans="3:10" s="1" customFormat="1" ht="16.5" thickBot="1" thickTop="1">
      <c r="C5" s="2"/>
      <c r="E5" s="2"/>
      <c r="G5" s="2"/>
      <c r="I5" s="2"/>
      <c r="J5" s="2"/>
    </row>
    <row r="6" spans="2:10" s="1" customFormat="1" ht="15.75" thickTop="1">
      <c r="B6" s="33" t="s">
        <v>9</v>
      </c>
      <c r="C6" s="16"/>
      <c r="D6" s="45" t="s">
        <v>71</v>
      </c>
      <c r="E6" s="17"/>
      <c r="F6" s="45"/>
      <c r="G6" s="17"/>
      <c r="H6" s="59" t="s">
        <v>10</v>
      </c>
      <c r="I6" s="31">
        <v>30</v>
      </c>
      <c r="J6" s="2"/>
    </row>
    <row r="7" spans="2:10" s="7" customFormat="1" ht="12.75">
      <c r="B7" s="36" t="s">
        <v>11</v>
      </c>
      <c r="C7" s="8"/>
      <c r="D7" s="46"/>
      <c r="E7" s="8"/>
      <c r="F7" s="46"/>
      <c r="G7" s="8"/>
      <c r="H7" s="62"/>
      <c r="I7" s="32" t="s">
        <v>50</v>
      </c>
      <c r="J7" s="9"/>
    </row>
    <row r="8" spans="2:10" s="1" customFormat="1" ht="15">
      <c r="B8" s="34"/>
      <c r="C8" s="4"/>
      <c r="D8" s="43"/>
      <c r="E8" s="4"/>
      <c r="F8" s="43"/>
      <c r="G8" s="4"/>
      <c r="H8" s="61"/>
      <c r="I8" s="66"/>
      <c r="J8" s="2"/>
    </row>
    <row r="9" spans="2:10" s="1" customFormat="1" ht="15">
      <c r="B9" s="34" t="s">
        <v>12</v>
      </c>
      <c r="C9" s="4"/>
      <c r="D9" s="43"/>
      <c r="E9" s="4"/>
      <c r="F9" s="43"/>
      <c r="G9" s="4"/>
      <c r="H9" s="61"/>
      <c r="I9" s="66"/>
      <c r="J9" s="2"/>
    </row>
    <row r="10" spans="2:10" s="1" customFormat="1" ht="15">
      <c r="B10" s="34" t="s">
        <v>13</v>
      </c>
      <c r="C10" s="11"/>
      <c r="D10" s="47"/>
      <c r="E10" s="11"/>
      <c r="F10" s="47"/>
      <c r="G10" s="11"/>
      <c r="H10" s="64">
        <v>936.52</v>
      </c>
      <c r="I10" s="66"/>
      <c r="J10" s="2"/>
    </row>
    <row r="11" spans="2:10" s="1" customFormat="1" ht="15">
      <c r="B11" s="34" t="s">
        <v>14</v>
      </c>
      <c r="C11" s="4"/>
      <c r="D11" s="43"/>
      <c r="E11" s="4"/>
      <c r="F11" s="43"/>
      <c r="G11" s="4"/>
      <c r="H11" s="61"/>
      <c r="I11" s="66"/>
      <c r="J11" s="2"/>
    </row>
    <row r="12" spans="2:10" s="1" customFormat="1" ht="15">
      <c r="B12" s="37" t="s">
        <v>58</v>
      </c>
      <c r="C12" s="6"/>
      <c r="D12" s="56"/>
      <c r="E12" s="12"/>
      <c r="F12" s="48"/>
      <c r="G12" s="12"/>
      <c r="H12" s="64">
        <v>20.89</v>
      </c>
      <c r="I12" s="66"/>
      <c r="J12" s="2"/>
    </row>
    <row r="13" spans="2:10" s="1" customFormat="1" ht="15">
      <c r="B13" s="38"/>
      <c r="C13" s="10"/>
      <c r="D13" s="57"/>
      <c r="E13" s="13"/>
      <c r="F13" s="49"/>
      <c r="G13" s="13"/>
      <c r="H13" s="65"/>
      <c r="I13" s="66"/>
      <c r="J13" s="2"/>
    </row>
    <row r="14" spans="2:10" s="1" customFormat="1" ht="15">
      <c r="B14" s="37"/>
      <c r="C14" s="6"/>
      <c r="D14" s="56"/>
      <c r="E14" s="13"/>
      <c r="F14" s="49"/>
      <c r="G14" s="13"/>
      <c r="H14" s="65"/>
      <c r="I14" s="66"/>
      <c r="J14" s="2"/>
    </row>
    <row r="15" spans="2:10" s="1" customFormat="1" ht="15">
      <c r="B15" s="34" t="s">
        <v>15</v>
      </c>
      <c r="C15" s="4"/>
      <c r="D15" s="48"/>
      <c r="E15" s="12"/>
      <c r="F15" s="48"/>
      <c r="G15" s="12"/>
      <c r="H15" s="65"/>
      <c r="I15" s="66"/>
      <c r="J15" s="2"/>
    </row>
    <row r="16" spans="2:10" s="1" customFormat="1" ht="15">
      <c r="B16" s="34" t="s">
        <v>16</v>
      </c>
      <c r="C16" s="4"/>
      <c r="D16" s="43"/>
      <c r="E16" s="13"/>
      <c r="F16" s="49"/>
      <c r="G16" s="13"/>
      <c r="H16" s="65"/>
      <c r="I16" s="66"/>
      <c r="J16" s="2"/>
    </row>
    <row r="17" spans="2:11" s="1" customFormat="1" ht="15">
      <c r="B17" s="34"/>
      <c r="C17" s="4"/>
      <c r="D17" s="48"/>
      <c r="E17" s="12"/>
      <c r="F17" s="48"/>
      <c r="G17" s="12"/>
      <c r="H17" s="65"/>
      <c r="I17" s="66"/>
      <c r="J17" s="2"/>
      <c r="K17" s="79"/>
    </row>
    <row r="18" spans="2:10" s="1" customFormat="1" ht="15">
      <c r="B18" s="34" t="s">
        <v>18</v>
      </c>
      <c r="C18" s="4"/>
      <c r="D18" s="43"/>
      <c r="E18" s="4"/>
      <c r="F18" s="43"/>
      <c r="G18" s="4"/>
      <c r="H18" s="61"/>
      <c r="I18" s="66"/>
      <c r="J18" s="2"/>
    </row>
    <row r="19" spans="2:10" s="1" customFormat="1" ht="15">
      <c r="B19" s="34" t="s">
        <v>19</v>
      </c>
      <c r="C19" s="4"/>
      <c r="D19" s="43"/>
      <c r="E19" s="4"/>
      <c r="F19" s="43"/>
      <c r="G19" s="4"/>
      <c r="H19" s="61"/>
      <c r="I19" s="66"/>
      <c r="J19" s="2"/>
    </row>
    <row r="20" spans="2:10" s="1" customFormat="1" ht="15">
      <c r="B20" s="37"/>
      <c r="C20" s="6"/>
      <c r="D20" s="56"/>
      <c r="E20" s="12"/>
      <c r="F20" s="48"/>
      <c r="G20" s="12"/>
      <c r="H20" s="64"/>
      <c r="I20" s="66"/>
      <c r="J20" s="2"/>
    </row>
    <row r="21" spans="2:10" s="1" customFormat="1" ht="15">
      <c r="B21" s="34" t="s">
        <v>20</v>
      </c>
      <c r="C21" s="4"/>
      <c r="D21" s="43"/>
      <c r="E21" s="4"/>
      <c r="F21" s="43"/>
      <c r="G21" s="4"/>
      <c r="H21" s="61"/>
      <c r="I21" s="66"/>
      <c r="J21" s="2"/>
    </row>
    <row r="22" spans="2:10" s="1" customFormat="1" ht="15">
      <c r="B22" s="37"/>
      <c r="C22" s="6"/>
      <c r="D22" s="56"/>
      <c r="E22" s="12"/>
      <c r="F22" s="48"/>
      <c r="G22" s="12"/>
      <c r="H22" s="64"/>
      <c r="I22" s="66"/>
      <c r="J22" s="2"/>
    </row>
    <row r="23" spans="2:10" s="1" customFormat="1" ht="15">
      <c r="B23" s="34" t="s">
        <v>21</v>
      </c>
      <c r="C23" s="4"/>
      <c r="D23" s="43"/>
      <c r="E23" s="4"/>
      <c r="F23" s="43"/>
      <c r="G23" s="4"/>
      <c r="H23" s="61"/>
      <c r="I23" s="66"/>
      <c r="J23" s="2"/>
    </row>
    <row r="24" spans="2:10" s="1" customFormat="1" ht="15">
      <c r="B24" s="37"/>
      <c r="C24" s="6"/>
      <c r="D24" s="56"/>
      <c r="E24" s="12"/>
      <c r="F24" s="48"/>
      <c r="G24" s="12"/>
      <c r="H24" s="64"/>
      <c r="I24" s="66"/>
      <c r="J24" s="2"/>
    </row>
    <row r="25" spans="2:10" s="7" customFormat="1" ht="13.5" thickBot="1">
      <c r="B25" s="36"/>
      <c r="C25" s="8"/>
      <c r="D25" s="46" t="s">
        <v>22</v>
      </c>
      <c r="E25" s="8"/>
      <c r="F25" s="50"/>
      <c r="G25" s="14"/>
      <c r="H25" s="50"/>
      <c r="I25" s="67">
        <f>SUM(H10:H24)</f>
        <v>957.41</v>
      </c>
      <c r="J25" s="9"/>
    </row>
    <row r="26" spans="2:10" s="1" customFormat="1" ht="15">
      <c r="B26" s="34"/>
      <c r="C26" s="4"/>
      <c r="D26" s="43"/>
      <c r="E26" s="4"/>
      <c r="F26" s="43"/>
      <c r="G26" s="4"/>
      <c r="H26" s="43"/>
      <c r="I26" s="66"/>
      <c r="J26" s="2"/>
    </row>
    <row r="27" spans="2:10" s="7" customFormat="1" ht="12.75">
      <c r="B27" s="36" t="s">
        <v>23</v>
      </c>
      <c r="C27" s="8"/>
      <c r="D27" s="46"/>
      <c r="E27" s="8"/>
      <c r="F27" s="46"/>
      <c r="G27" s="8"/>
      <c r="H27" s="46"/>
      <c r="I27" s="68"/>
      <c r="J27" s="9"/>
    </row>
    <row r="28" spans="2:10" s="7" customFormat="1" ht="12.75">
      <c r="B28" s="36" t="s">
        <v>25</v>
      </c>
      <c r="C28" s="8"/>
      <c r="D28" s="46"/>
      <c r="E28" s="8"/>
      <c r="F28" s="46"/>
      <c r="G28" s="8"/>
      <c r="H28" s="46"/>
      <c r="I28" s="68"/>
      <c r="J28" s="9"/>
    </row>
    <row r="29" spans="2:10" s="1" customFormat="1" ht="15">
      <c r="B29" s="34"/>
      <c r="C29" s="4"/>
      <c r="D29" s="43"/>
      <c r="E29" s="4"/>
      <c r="F29" s="51" t="s">
        <v>26</v>
      </c>
      <c r="G29" s="4"/>
      <c r="H29" s="43"/>
      <c r="I29" s="66"/>
      <c r="J29" s="2"/>
    </row>
    <row r="30" spans="2:10" s="1" customFormat="1" ht="15">
      <c r="B30" s="34" t="s">
        <v>24</v>
      </c>
      <c r="C30" s="4"/>
      <c r="D30" s="48"/>
      <c r="E30" s="12"/>
      <c r="F30" s="63">
        <v>0.047</v>
      </c>
      <c r="G30" s="12"/>
      <c r="H30" s="64">
        <f>+I52*0.047</f>
        <v>52.33434333333334</v>
      </c>
      <c r="I30" s="66"/>
      <c r="J30" s="2"/>
    </row>
    <row r="31" spans="2:10" s="1" customFormat="1" ht="15">
      <c r="B31" s="34" t="s">
        <v>27</v>
      </c>
      <c r="C31" s="4"/>
      <c r="D31" s="49"/>
      <c r="E31" s="13"/>
      <c r="F31" s="63">
        <v>0.016</v>
      </c>
      <c r="G31" s="13"/>
      <c r="H31" s="65">
        <f>+I53*0.016</f>
        <v>17.81594666666667</v>
      </c>
      <c r="I31" s="66"/>
      <c r="J31" s="2"/>
    </row>
    <row r="32" spans="2:10" s="1" customFormat="1" ht="15">
      <c r="B32" s="34" t="s">
        <v>28</v>
      </c>
      <c r="C32" s="4"/>
      <c r="D32" s="49"/>
      <c r="E32" s="13"/>
      <c r="F32" s="63">
        <v>0.001</v>
      </c>
      <c r="G32" s="13"/>
      <c r="H32" s="65">
        <f>+I53*0.001</f>
        <v>1.1134966666666668</v>
      </c>
      <c r="I32" s="66"/>
      <c r="J32" s="2"/>
    </row>
    <row r="33" spans="2:10" s="1" customFormat="1" ht="15">
      <c r="B33" s="34" t="s">
        <v>29</v>
      </c>
      <c r="C33" s="4"/>
      <c r="D33" s="43"/>
      <c r="E33" s="13"/>
      <c r="F33" s="63">
        <v>0.047</v>
      </c>
      <c r="G33" s="13"/>
      <c r="H33" s="65">
        <f>+I54*0.047</f>
        <v>0</v>
      </c>
      <c r="I33" s="66"/>
      <c r="J33" s="2"/>
    </row>
    <row r="34" spans="2:10" s="1" customFormat="1" ht="15">
      <c r="B34" s="34" t="s">
        <v>30</v>
      </c>
      <c r="C34" s="4"/>
      <c r="D34" s="43"/>
      <c r="E34" s="13"/>
      <c r="F34" s="63">
        <v>0.02</v>
      </c>
      <c r="G34" s="13"/>
      <c r="H34" s="65">
        <f>+I55*0.02</f>
        <v>0</v>
      </c>
      <c r="I34" s="66"/>
      <c r="J34" s="2"/>
    </row>
    <row r="35" spans="2:10" s="7" customFormat="1" ht="12.75">
      <c r="B35" s="36" t="s">
        <v>31</v>
      </c>
      <c r="C35" s="8"/>
      <c r="D35" s="50"/>
      <c r="E35" s="14"/>
      <c r="F35" s="50"/>
      <c r="G35" s="14"/>
      <c r="H35" s="69">
        <f>SUM(H30:H34)</f>
        <v>71.26378666666668</v>
      </c>
      <c r="I35" s="68"/>
      <c r="J35" s="9"/>
    </row>
    <row r="36" spans="2:10" s="1" customFormat="1" ht="15">
      <c r="B36" s="34"/>
      <c r="C36" s="4"/>
      <c r="D36" s="43"/>
      <c r="E36" s="4"/>
      <c r="F36" s="43"/>
      <c r="G36" s="4"/>
      <c r="H36" s="61"/>
      <c r="I36" s="66"/>
      <c r="J36" s="2"/>
    </row>
    <row r="37" spans="2:10" s="1" customFormat="1" ht="15">
      <c r="B37" s="34" t="s">
        <v>32</v>
      </c>
      <c r="C37" s="12"/>
      <c r="D37" s="48"/>
      <c r="E37" s="12"/>
      <c r="F37" s="52">
        <v>0.02</v>
      </c>
      <c r="G37" s="12"/>
      <c r="H37" s="64">
        <f>+I56*F37</f>
        <v>19.1482</v>
      </c>
      <c r="I37" s="66"/>
      <c r="J37" s="2"/>
    </row>
    <row r="38" spans="2:10" s="1" customFormat="1" ht="15">
      <c r="B38" s="34" t="s">
        <v>33</v>
      </c>
      <c r="C38" s="13"/>
      <c r="D38" s="49"/>
      <c r="E38" s="13"/>
      <c r="F38" s="43"/>
      <c r="G38" s="13"/>
      <c r="H38" s="65"/>
      <c r="I38" s="66"/>
      <c r="J38" s="2"/>
    </row>
    <row r="39" spans="2:10" s="1" customFormat="1" ht="15">
      <c r="B39" s="34" t="s">
        <v>34</v>
      </c>
      <c r="C39" s="4"/>
      <c r="D39" s="43"/>
      <c r="E39" s="4"/>
      <c r="F39" s="48"/>
      <c r="G39" s="12"/>
      <c r="H39" s="65"/>
      <c r="I39" s="66"/>
      <c r="J39" s="2"/>
    </row>
    <row r="40" spans="2:10" s="1" customFormat="1" ht="15">
      <c r="B40" s="34" t="s">
        <v>35</v>
      </c>
      <c r="C40" s="4"/>
      <c r="D40" s="48"/>
      <c r="E40" s="12"/>
      <c r="F40" s="48"/>
      <c r="G40" s="12"/>
      <c r="H40" s="65"/>
      <c r="I40" s="66"/>
      <c r="J40" s="2"/>
    </row>
    <row r="41" spans="2:10" s="1" customFormat="1" ht="15">
      <c r="B41" s="34"/>
      <c r="C41" s="4"/>
      <c r="D41" s="43"/>
      <c r="E41" s="4"/>
      <c r="F41" s="43"/>
      <c r="G41" s="4"/>
      <c r="H41" s="61"/>
      <c r="I41" s="66"/>
      <c r="J41" s="2"/>
    </row>
    <row r="42" spans="2:10" s="7" customFormat="1" ht="13.5" thickBot="1">
      <c r="B42" s="36"/>
      <c r="C42" s="8"/>
      <c r="D42" s="46" t="s">
        <v>36</v>
      </c>
      <c r="E42" s="8"/>
      <c r="F42" s="50"/>
      <c r="G42" s="14"/>
      <c r="H42" s="70">
        <f>SUM(H35:H40)</f>
        <v>90.41198666666668</v>
      </c>
      <c r="I42" s="68"/>
      <c r="J42" s="9"/>
    </row>
    <row r="43" spans="2:10" s="7" customFormat="1" ht="13.5" thickBot="1">
      <c r="B43" s="36"/>
      <c r="C43" s="8"/>
      <c r="D43" s="46" t="s">
        <v>37</v>
      </c>
      <c r="E43" s="8"/>
      <c r="F43" s="46"/>
      <c r="G43" s="21"/>
      <c r="H43" s="50"/>
      <c r="I43" s="67">
        <f>+I25-H42</f>
        <v>866.9980133333333</v>
      </c>
      <c r="J43" s="9"/>
    </row>
    <row r="44" spans="2:10" s="1" customFormat="1" ht="15">
      <c r="B44" s="34"/>
      <c r="C44" s="4"/>
      <c r="D44" s="43" t="s">
        <v>38</v>
      </c>
      <c r="E44" s="4"/>
      <c r="F44" s="43"/>
      <c r="G44" s="43" t="s">
        <v>39</v>
      </c>
      <c r="H44" s="43"/>
      <c r="I44" s="60" t="s">
        <v>40</v>
      </c>
      <c r="J44" s="2"/>
    </row>
    <row r="45" spans="2:10" s="1" customFormat="1" ht="15">
      <c r="B45" s="34"/>
      <c r="C45" s="4"/>
      <c r="D45" s="43"/>
      <c r="E45" s="4"/>
      <c r="F45" s="43"/>
      <c r="G45" s="4"/>
      <c r="H45" s="43"/>
      <c r="I45" s="15"/>
      <c r="J45" s="2"/>
    </row>
    <row r="46" spans="2:10" s="1" customFormat="1" ht="15.75" thickBot="1">
      <c r="B46" s="35"/>
      <c r="C46" s="19"/>
      <c r="D46" s="44"/>
      <c r="E46" s="19"/>
      <c r="F46" s="44"/>
      <c r="G46" s="19"/>
      <c r="H46" s="44"/>
      <c r="I46" s="20"/>
      <c r="J46" s="2"/>
    </row>
    <row r="47" spans="3:10" s="1" customFormat="1" ht="16.5" thickBot="1" thickTop="1">
      <c r="C47" s="2"/>
      <c r="G47" s="2"/>
      <c r="I47" s="2"/>
      <c r="J47" s="2"/>
    </row>
    <row r="48" spans="2:10" s="24" customFormat="1" ht="13.5" thickTop="1">
      <c r="B48" s="39" t="s">
        <v>41</v>
      </c>
      <c r="C48" s="25"/>
      <c r="D48" s="53"/>
      <c r="E48" s="25"/>
      <c r="F48" s="53"/>
      <c r="G48" s="25"/>
      <c r="H48" s="53"/>
      <c r="I48" s="26"/>
      <c r="J48" s="27"/>
    </row>
    <row r="49" spans="2:10" s="1" customFormat="1" ht="15">
      <c r="B49" s="34" t="s">
        <v>42</v>
      </c>
      <c r="C49" s="4"/>
      <c r="D49" s="43"/>
      <c r="E49" s="4"/>
      <c r="F49" s="43"/>
      <c r="G49" s="4"/>
      <c r="H49" s="43"/>
      <c r="I49" s="15"/>
      <c r="J49" s="2"/>
    </row>
    <row r="50" spans="2:10" s="1" customFormat="1" ht="15">
      <c r="B50" s="34"/>
      <c r="C50" s="43" t="s">
        <v>43</v>
      </c>
      <c r="D50" s="43"/>
      <c r="E50" s="12"/>
      <c r="F50" s="48"/>
      <c r="G50" s="71">
        <f>SUM(H10:H14)+H17</f>
        <v>957.41</v>
      </c>
      <c r="H50" s="43"/>
      <c r="I50" s="15"/>
      <c r="J50" s="2"/>
    </row>
    <row r="51" spans="2:10" s="1" customFormat="1" ht="15">
      <c r="B51" s="34"/>
      <c r="C51" s="43" t="s">
        <v>44</v>
      </c>
      <c r="D51" s="43"/>
      <c r="E51" s="13"/>
      <c r="F51" s="49"/>
      <c r="G51" s="72">
        <f>2*H10/12</f>
        <v>156.08666666666667</v>
      </c>
      <c r="H51" s="43"/>
      <c r="I51" s="15"/>
      <c r="J51" s="2"/>
    </row>
    <row r="52" spans="2:10" s="1" customFormat="1" ht="15">
      <c r="B52" s="34"/>
      <c r="C52" s="4"/>
      <c r="D52" s="43" t="s">
        <v>45</v>
      </c>
      <c r="E52" s="13"/>
      <c r="F52" s="49"/>
      <c r="G52" s="72">
        <f>SUM(G50:G51)</f>
        <v>1113.4966666666667</v>
      </c>
      <c r="H52" s="43"/>
      <c r="I52" s="73">
        <f>+G52</f>
        <v>1113.4966666666667</v>
      </c>
      <c r="J52" s="2"/>
    </row>
    <row r="53" spans="2:10" s="1" customFormat="1" ht="15">
      <c r="B53" s="34" t="s">
        <v>46</v>
      </c>
      <c r="C53" s="4"/>
      <c r="D53" s="43"/>
      <c r="E53" s="4"/>
      <c r="F53" s="43"/>
      <c r="G53" s="4"/>
      <c r="H53" s="48"/>
      <c r="I53" s="74">
        <f>+G52+I54+I55</f>
        <v>1113.4966666666667</v>
      </c>
      <c r="J53" s="2"/>
    </row>
    <row r="54" spans="2:10" s="1" customFormat="1" ht="15">
      <c r="B54" s="34" t="s">
        <v>47</v>
      </c>
      <c r="C54" s="4"/>
      <c r="D54" s="43"/>
      <c r="E54" s="4"/>
      <c r="F54" s="48"/>
      <c r="G54" s="12"/>
      <c r="H54" s="48"/>
      <c r="I54" s="74"/>
      <c r="J54" s="2"/>
    </row>
    <row r="55" spans="2:10" s="1" customFormat="1" ht="15">
      <c r="B55" s="34" t="s">
        <v>48</v>
      </c>
      <c r="C55" s="4"/>
      <c r="D55" s="43"/>
      <c r="E55" s="4"/>
      <c r="F55" s="49"/>
      <c r="G55" s="13"/>
      <c r="H55" s="49"/>
      <c r="I55" s="74"/>
      <c r="J55" s="2"/>
    </row>
    <row r="56" spans="2:10" s="1" customFormat="1" ht="15">
      <c r="B56" s="34" t="s">
        <v>49</v>
      </c>
      <c r="C56" s="4"/>
      <c r="D56" s="43"/>
      <c r="E56" s="12"/>
      <c r="F56" s="49"/>
      <c r="G56" s="13"/>
      <c r="H56" s="49"/>
      <c r="I56" s="74">
        <f>+I25-H20</f>
        <v>957.41</v>
      </c>
      <c r="J56" s="2"/>
    </row>
    <row r="57" spans="2:9" ht="13.5" thickBot="1">
      <c r="B57" s="40"/>
      <c r="C57" s="22"/>
      <c r="D57" s="54"/>
      <c r="E57" s="22"/>
      <c r="F57" s="54"/>
      <c r="G57" s="22"/>
      <c r="H57" s="54"/>
      <c r="I57" s="23"/>
    </row>
    <row r="58" spans="1:2" ht="15.75" thickTop="1">
      <c r="A58" s="76"/>
      <c r="B58" s="75"/>
    </row>
    <row r="59" ht="15">
      <c r="B59" s="75"/>
    </row>
    <row r="60" ht="15">
      <c r="B60" s="75"/>
    </row>
    <row r="61" ht="15">
      <c r="B61" s="75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DE ORIENTACIÓN</dc:creator>
  <cp:keywords/>
  <dc:description/>
  <cp:lastModifiedBy>Valued Acer Customer</cp:lastModifiedBy>
  <cp:lastPrinted>2010-03-29T07:27:42Z</cp:lastPrinted>
  <dcterms:created xsi:type="dcterms:W3CDTF">2001-02-22T10:46:08Z</dcterms:created>
  <dcterms:modified xsi:type="dcterms:W3CDTF">2010-04-28T07:51:39Z</dcterms:modified>
  <cp:category/>
  <cp:version/>
  <cp:contentType/>
  <cp:contentStatus/>
</cp:coreProperties>
</file>